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Перечни Ивня 22\"/>
    </mc:Choice>
  </mc:AlternateContent>
  <bookViews>
    <workbookView xWindow="0" yWindow="0" windowWidth="28800" windowHeight="12345" tabRatio="924" activeTab="11"/>
  </bookViews>
  <sheets>
    <sheet name="Исх. дан." sheetId="1" r:id="rId1"/>
    <sheet name="Норм. по сан. сод." sheetId="2" r:id="rId2"/>
    <sheet name="Постоянные конст" sheetId="3" r:id="rId3"/>
    <sheet name="ЗП персонала" sheetId="4" r:id="rId4"/>
    <sheet name="Цены" sheetId="5" r:id="rId5"/>
    <sheet name="спец инв" sheetId="6" r:id="rId6"/>
    <sheet name="материал" sheetId="7" r:id="rId7"/>
    <sheet name="Конструктивные элементы" sheetId="8" r:id="rId8"/>
    <sheet name="СВИО и КЭ" sheetId="9" r:id="rId9"/>
    <sheet name="Транс. расх." sheetId="10" r:id="rId10"/>
    <sheet name="ВСЕ раб" sheetId="11" r:id="rId11"/>
    <sheet name="Перечень" sheetId="12" r:id="rId12"/>
  </sheets>
  <externalReferences>
    <externalReference r:id="rId13"/>
    <externalReference r:id="rId14"/>
    <externalReference r:id="rId15"/>
  </externalReferences>
  <definedNames>
    <definedName name="__xlnm.Print_Area" localSheetId="6">материал!$A$1:$K$60</definedName>
    <definedName name="__xlnm.Print_Titles" localSheetId="10">'ВСЕ раб'!$2:$5</definedName>
    <definedName name="__xlnm.Print_Titles" localSheetId="6">материал!$1:$6</definedName>
    <definedName name="__xlnm.Print_Titles" localSheetId="5">'спец инв'!$1:$5</definedName>
    <definedName name="_xlnm.Print_Titles" localSheetId="10">'ВСЕ раб'!$2:$5</definedName>
    <definedName name="_xlnm.Print_Titles" localSheetId="6">материал!$1:$6</definedName>
    <definedName name="_xlnm.Print_Titles" localSheetId="5">'спец инв'!$1:$5</definedName>
    <definedName name="_xlnm.Print_Area" localSheetId="6">материал!$A$1:$K$60</definedName>
  </definedNames>
  <calcPr calcId="162913" fullCalcOnLoad="1"/>
</workbook>
</file>

<file path=xl/calcChain.xml><?xml version="1.0" encoding="utf-8"?>
<calcChain xmlns="http://schemas.openxmlformats.org/spreadsheetml/2006/main">
  <c r="H57" i="12" l="1"/>
  <c r="H31" i="12"/>
  <c r="H32" i="12"/>
  <c r="H34" i="12"/>
  <c r="H35" i="12"/>
  <c r="H37" i="12"/>
  <c r="H38" i="12"/>
  <c r="H39" i="12"/>
  <c r="H40" i="12"/>
  <c r="H41" i="12"/>
  <c r="H42" i="12"/>
  <c r="H43" i="12"/>
  <c r="H44" i="12"/>
  <c r="H45" i="12"/>
  <c r="H46" i="12"/>
  <c r="H48" i="12"/>
  <c r="H50" i="12"/>
  <c r="H51" i="12"/>
  <c r="H52" i="12"/>
  <c r="H53" i="12"/>
  <c r="H54" i="12"/>
  <c r="H55" i="12"/>
  <c r="H56" i="12"/>
  <c r="H30" i="12"/>
  <c r="H28" i="12"/>
  <c r="H7" i="12"/>
  <c r="G7" i="12"/>
  <c r="F34" i="12"/>
  <c r="F35" i="12"/>
  <c r="F37" i="12"/>
  <c r="F38" i="12"/>
  <c r="F39" i="12"/>
  <c r="F40" i="12"/>
  <c r="F41" i="12"/>
  <c r="F42" i="12"/>
  <c r="F43" i="12"/>
  <c r="F44" i="12"/>
  <c r="F45" i="12"/>
  <c r="F46" i="12"/>
  <c r="F48" i="12"/>
  <c r="F50" i="12"/>
  <c r="F51" i="12"/>
  <c r="F52" i="12"/>
  <c r="F53" i="12"/>
  <c r="F54" i="12"/>
  <c r="F55" i="12"/>
  <c r="F56" i="12"/>
  <c r="F31" i="12"/>
  <c r="F32" i="12"/>
  <c r="F30" i="12"/>
  <c r="F57" i="12"/>
  <c r="F28" i="12"/>
  <c r="F7" i="12"/>
  <c r="F58" i="12"/>
  <c r="G57" i="12"/>
  <c r="H11" i="11"/>
  <c r="H12" i="11"/>
  <c r="H13" i="11"/>
  <c r="H10" i="11"/>
  <c r="E15" i="11"/>
  <c r="E16" i="11"/>
  <c r="E19" i="11"/>
  <c r="C2" i="4"/>
  <c r="F2" i="4"/>
  <c r="G2" i="4"/>
  <c r="E2" i="4"/>
  <c r="C3" i="4"/>
  <c r="E3" i="4"/>
  <c r="F3" i="4"/>
  <c r="G3" i="4"/>
  <c r="H3" i="4"/>
  <c r="C4" i="4"/>
  <c r="E4" i="4"/>
  <c r="F4" i="4"/>
  <c r="G4" i="4"/>
  <c r="H4" i="4"/>
  <c r="C5" i="4"/>
  <c r="E5" i="4"/>
  <c r="F5" i="4"/>
  <c r="G5" i="4"/>
  <c r="H5" i="4"/>
  <c r="C6" i="4"/>
  <c r="F6" i="4"/>
  <c r="G6" i="4"/>
  <c r="H6" i="4"/>
  <c r="E6" i="4"/>
  <c r="C7" i="4"/>
  <c r="F7" i="4"/>
  <c r="E7" i="4"/>
  <c r="G7" i="4"/>
  <c r="H7" i="4"/>
  <c r="I19" i="9"/>
  <c r="C8" i="4"/>
  <c r="E8" i="4"/>
  <c r="F8" i="4"/>
  <c r="G8" i="4"/>
  <c r="H8" i="4"/>
  <c r="C9" i="4"/>
  <c r="E9" i="4"/>
  <c r="F9" i="4"/>
  <c r="G9" i="4"/>
  <c r="H9" i="4"/>
  <c r="I13" i="9"/>
  <c r="C10" i="4"/>
  <c r="F10" i="4"/>
  <c r="E10" i="4"/>
  <c r="G10" i="4"/>
  <c r="H10" i="4"/>
  <c r="D3" i="1"/>
  <c r="D8" i="1"/>
  <c r="N12" i="11"/>
  <c r="N10" i="11"/>
  <c r="O10" i="11"/>
  <c r="D14" i="1"/>
  <c r="F16" i="11"/>
  <c r="F6" i="8"/>
  <c r="G6" i="8"/>
  <c r="F7" i="8"/>
  <c r="G7" i="8"/>
  <c r="F8" i="8"/>
  <c r="G8" i="8"/>
  <c r="F9" i="8"/>
  <c r="G9" i="8"/>
  <c r="F10" i="8"/>
  <c r="G10" i="8"/>
  <c r="F11" i="8"/>
  <c r="G11" i="8"/>
  <c r="E17" i="8"/>
  <c r="E20" i="8"/>
  <c r="E22" i="8"/>
  <c r="E23" i="8"/>
  <c r="E24" i="8"/>
  <c r="E25" i="8"/>
  <c r="E27" i="8"/>
  <c r="E28" i="8"/>
  <c r="E29" i="8"/>
  <c r="E31" i="8"/>
  <c r="E32" i="8"/>
  <c r="E33" i="8"/>
  <c r="E34" i="8"/>
  <c r="E35" i="8"/>
  <c r="E36" i="8"/>
  <c r="E38" i="8"/>
  <c r="E42" i="8"/>
  <c r="G44" i="8"/>
  <c r="E45" i="8"/>
  <c r="E47" i="8"/>
  <c r="E49" i="8"/>
  <c r="E50" i="8"/>
  <c r="E51" i="8"/>
  <c r="E52" i="8"/>
  <c r="D7" i="7"/>
  <c r="I7" i="7"/>
  <c r="D9" i="7"/>
  <c r="I9" i="7"/>
  <c r="I12" i="7"/>
  <c r="K12" i="7"/>
  <c r="E9" i="7"/>
  <c r="F9" i="7"/>
  <c r="F11" i="7"/>
  <c r="C12" i="7"/>
  <c r="H12" i="7"/>
  <c r="H13" i="7"/>
  <c r="J14" i="7"/>
  <c r="C15" i="7"/>
  <c r="J19" i="7"/>
  <c r="D22" i="7"/>
  <c r="F22" i="7"/>
  <c r="I22" i="7"/>
  <c r="K22" i="7"/>
  <c r="L22" i="7"/>
  <c r="D23" i="7"/>
  <c r="F23" i="7"/>
  <c r="D24" i="7"/>
  <c r="F24" i="7"/>
  <c r="D26" i="7"/>
  <c r="D27" i="7"/>
  <c r="F27" i="7"/>
  <c r="D28" i="7"/>
  <c r="F28" i="7"/>
  <c r="D30" i="7"/>
  <c r="L31" i="7"/>
  <c r="C34" i="7"/>
  <c r="H34" i="7"/>
  <c r="C37" i="7"/>
  <c r="L42" i="7"/>
  <c r="K42" i="7"/>
  <c r="D44" i="7"/>
  <c r="K44" i="7"/>
  <c r="K45" i="7"/>
  <c r="F46" i="7"/>
  <c r="I27" i="6"/>
  <c r="C47" i="7"/>
  <c r="H47" i="7"/>
  <c r="K47" i="7"/>
  <c r="L47" i="7"/>
  <c r="H48" i="7"/>
  <c r="K48" i="7"/>
  <c r="L48" i="7"/>
  <c r="K50" i="7"/>
  <c r="L50" i="7"/>
  <c r="K51" i="7"/>
  <c r="L51" i="7"/>
  <c r="C52" i="7"/>
  <c r="K52" i="7"/>
  <c r="L52" i="7"/>
  <c r="M52" i="7"/>
  <c r="K53" i="7"/>
  <c r="L53" i="7"/>
  <c r="J54" i="7"/>
  <c r="A55" i="7"/>
  <c r="C5" i="12"/>
  <c r="D34" i="12"/>
  <c r="E14" i="3"/>
  <c r="O30" i="11"/>
  <c r="B15" i="3"/>
  <c r="C3" i="9"/>
  <c r="H3" i="9"/>
  <c r="I3" i="9"/>
  <c r="C4" i="9"/>
  <c r="H4" i="9"/>
  <c r="C5" i="9"/>
  <c r="H5" i="9"/>
  <c r="C6" i="9"/>
  <c r="H6" i="9"/>
  <c r="I6" i="9"/>
  <c r="C7" i="9"/>
  <c r="H7" i="9"/>
  <c r="I7" i="9"/>
  <c r="C10" i="9"/>
  <c r="H10" i="9"/>
  <c r="I10" i="9"/>
  <c r="C11" i="9"/>
  <c r="H11" i="9"/>
  <c r="C12" i="9"/>
  <c r="H12" i="9"/>
  <c r="C13" i="9"/>
  <c r="C14" i="9"/>
  <c r="H14" i="9"/>
  <c r="I14" i="9"/>
  <c r="C15" i="9"/>
  <c r="H15" i="9"/>
  <c r="C18" i="9"/>
  <c r="H18" i="9"/>
  <c r="C19" i="9"/>
  <c r="H19" i="9"/>
  <c r="C20" i="9"/>
  <c r="H20" i="9"/>
  <c r="I20" i="9"/>
  <c r="C21" i="9"/>
  <c r="H21" i="9"/>
  <c r="C22" i="9"/>
  <c r="H22" i="9"/>
  <c r="C23" i="9"/>
  <c r="H23" i="9"/>
  <c r="I23" i="9"/>
  <c r="C24" i="9"/>
  <c r="H24" i="9"/>
  <c r="I24" i="9"/>
  <c r="D48" i="12"/>
  <c r="C29" i="9"/>
  <c r="F29" i="9"/>
  <c r="E29" i="9"/>
  <c r="C30" i="9"/>
  <c r="F30" i="9"/>
  <c r="E30" i="9"/>
  <c r="H34" i="9"/>
  <c r="I35" i="9"/>
  <c r="I36" i="9"/>
  <c r="E45" i="9"/>
  <c r="E48" i="9"/>
  <c r="E49" i="9"/>
  <c r="E50" i="9"/>
  <c r="E52" i="9"/>
  <c r="E56" i="9"/>
  <c r="E57" i="9"/>
  <c r="E59" i="9"/>
  <c r="E60" i="9"/>
  <c r="E61" i="9"/>
  <c r="E62" i="9"/>
  <c r="F9" i="6"/>
  <c r="F10" i="6"/>
  <c r="F11" i="6"/>
  <c r="F16" i="6"/>
  <c r="F17" i="6"/>
  <c r="F18" i="6"/>
  <c r="F19" i="6"/>
  <c r="F20" i="6"/>
  <c r="F21" i="6"/>
  <c r="F22" i="6"/>
  <c r="F23" i="6"/>
  <c r="F24" i="6"/>
  <c r="F29" i="6"/>
  <c r="F30" i="6"/>
  <c r="F31" i="6"/>
  <c r="F38" i="6"/>
  <c r="F39" i="6"/>
  <c r="F40" i="6"/>
  <c r="F41" i="6"/>
  <c r="F42" i="6"/>
  <c r="F44" i="6"/>
  <c r="I44" i="6"/>
  <c r="F45" i="6"/>
  <c r="I45" i="6"/>
  <c r="J45" i="6"/>
  <c r="F46" i="6"/>
  <c r="I46" i="6"/>
  <c r="J46" i="6"/>
  <c r="F50" i="6"/>
  <c r="F51" i="6"/>
  <c r="F52" i="6"/>
  <c r="F53" i="6"/>
  <c r="F54" i="6"/>
  <c r="F55" i="6"/>
  <c r="F60" i="6"/>
  <c r="F61" i="6"/>
  <c r="F62" i="6"/>
  <c r="F63" i="6"/>
  <c r="F64" i="6"/>
  <c r="F65" i="6"/>
  <c r="F66" i="6"/>
  <c r="F67" i="6"/>
  <c r="F68" i="6"/>
  <c r="F69" i="6"/>
  <c r="F70" i="6"/>
  <c r="F71" i="6"/>
  <c r="K74" i="6"/>
  <c r="G41" i="7"/>
  <c r="I76" i="6"/>
  <c r="F78" i="6"/>
  <c r="J78" i="6"/>
  <c r="I78" i="6"/>
  <c r="F79" i="6"/>
  <c r="J79" i="6"/>
  <c r="I79" i="6"/>
  <c r="F80" i="6"/>
  <c r="I80" i="6"/>
  <c r="J80" i="6"/>
  <c r="F81" i="6"/>
  <c r="I81" i="6"/>
  <c r="J81" i="6"/>
  <c r="F85" i="6"/>
  <c r="J85" i="6"/>
  <c r="I85" i="6"/>
  <c r="F87" i="6"/>
  <c r="I87" i="6"/>
  <c r="F89" i="6"/>
  <c r="I89" i="6"/>
  <c r="J89" i="6"/>
  <c r="F95" i="6"/>
  <c r="F96" i="6"/>
  <c r="F98" i="6"/>
  <c r="F99" i="6"/>
  <c r="F101" i="6"/>
  <c r="I101" i="6"/>
  <c r="J101" i="6"/>
  <c r="F102" i="6"/>
  <c r="J102" i="6"/>
  <c r="I102" i="6"/>
  <c r="I105" i="6"/>
  <c r="I106" i="6"/>
  <c r="I104" i="6"/>
  <c r="B2" i="10"/>
  <c r="C2" i="10"/>
  <c r="C3" i="10"/>
  <c r="B4" i="10"/>
  <c r="C4" i="10"/>
  <c r="B5" i="10"/>
  <c r="C5" i="10"/>
  <c r="B6" i="10"/>
  <c r="C6" i="10"/>
  <c r="C2" i="5"/>
  <c r="G50" i="6"/>
  <c r="C3" i="5"/>
  <c r="G51" i="6"/>
  <c r="H51" i="6"/>
  <c r="C4" i="5"/>
  <c r="G52" i="6"/>
  <c r="H52" i="6"/>
  <c r="C5" i="5"/>
  <c r="G53" i="6"/>
  <c r="H53" i="6"/>
  <c r="C6" i="5"/>
  <c r="C7" i="5"/>
  <c r="G54" i="6"/>
  <c r="C8" i="5"/>
  <c r="G55" i="6"/>
  <c r="H55" i="6"/>
  <c r="C9" i="5"/>
  <c r="G38" i="6"/>
  <c r="H38" i="6"/>
  <c r="C10" i="5"/>
  <c r="G61" i="6"/>
  <c r="H61" i="6"/>
  <c r="C11" i="5"/>
  <c r="G62" i="6"/>
  <c r="H62" i="6"/>
  <c r="C12" i="5"/>
  <c r="G79" i="6"/>
  <c r="H79" i="6"/>
  <c r="C13" i="5"/>
  <c r="G64" i="6"/>
  <c r="H64" i="6"/>
  <c r="C14" i="5"/>
  <c r="G65" i="6"/>
  <c r="C15" i="5"/>
  <c r="G42" i="6"/>
  <c r="H42" i="6"/>
  <c r="C16" i="5"/>
  <c r="G41" i="6"/>
  <c r="H41" i="6"/>
  <c r="C17" i="5"/>
  <c r="G39" i="6"/>
  <c r="C18" i="5"/>
  <c r="C20" i="5"/>
  <c r="C21" i="5"/>
  <c r="B22" i="5"/>
  <c r="C22" i="5"/>
  <c r="C23" i="5"/>
  <c r="G44" i="6"/>
  <c r="C24" i="5"/>
  <c r="G45" i="6"/>
  <c r="H45" i="6"/>
  <c r="K45" i="6"/>
  <c r="C25" i="5"/>
  <c r="G46" i="6"/>
  <c r="H46" i="6"/>
  <c r="K46" i="6"/>
  <c r="C26" i="5"/>
  <c r="G95" i="6"/>
  <c r="H95" i="6"/>
  <c r="C27" i="5"/>
  <c r="G96" i="6"/>
  <c r="C28" i="5"/>
  <c r="G104" i="6"/>
  <c r="H104" i="6"/>
  <c r="C29" i="5"/>
  <c r="G105" i="6"/>
  <c r="C31" i="5"/>
  <c r="C32" i="5"/>
  <c r="G17" i="6"/>
  <c r="C33" i="5"/>
  <c r="C34" i="5"/>
  <c r="F46" i="9"/>
  <c r="C35" i="5"/>
  <c r="G30" i="6"/>
  <c r="H30" i="6"/>
  <c r="C36" i="5"/>
  <c r="C37" i="5"/>
  <c r="C38" i="5"/>
  <c r="G23" i="6"/>
  <c r="H23" i="6"/>
  <c r="C39" i="5"/>
  <c r="C40" i="5"/>
  <c r="G9" i="6"/>
  <c r="H9" i="6"/>
  <c r="C41" i="5"/>
  <c r="C42" i="5"/>
  <c r="C43" i="5"/>
  <c r="C44" i="5"/>
  <c r="F17" i="8"/>
  <c r="G17" i="8"/>
  <c r="C45" i="5"/>
  <c r="F18" i="8"/>
  <c r="C46" i="5"/>
  <c r="F19" i="8"/>
  <c r="G19" i="8"/>
  <c r="C47" i="5"/>
  <c r="C48" i="5"/>
  <c r="F21" i="8"/>
  <c r="G21" i="8"/>
  <c r="C49" i="5"/>
  <c r="C50" i="5"/>
  <c r="F35" i="8"/>
  <c r="C51" i="5"/>
  <c r="F36" i="8"/>
  <c r="C52" i="5"/>
  <c r="F38" i="8"/>
  <c r="G38" i="8"/>
  <c r="C53" i="5"/>
  <c r="F41" i="8"/>
  <c r="C54" i="5"/>
  <c r="F43" i="8"/>
  <c r="G43" i="8"/>
  <c r="C55" i="5"/>
  <c r="F45" i="8"/>
  <c r="C56" i="5"/>
  <c r="F46" i="8"/>
  <c r="G46" i="8"/>
  <c r="C57" i="5"/>
  <c r="F52" i="8"/>
  <c r="G52" i="8"/>
  <c r="O12" i="11"/>
  <c r="I18" i="9"/>
  <c r="I22" i="9"/>
  <c r="D35" i="12"/>
  <c r="I5" i="9"/>
  <c r="D30" i="12"/>
  <c r="K104" i="6"/>
  <c r="G57" i="7"/>
  <c r="C7" i="10"/>
  <c r="E27" i="11"/>
  <c r="F39" i="8"/>
  <c r="F54" i="9"/>
  <c r="F32" i="8"/>
  <c r="G10" i="6"/>
  <c r="H10" i="6"/>
  <c r="G21" i="6"/>
  <c r="H21" i="6"/>
  <c r="F49" i="8"/>
  <c r="G49" i="8"/>
  <c r="F59" i="9"/>
  <c r="G19" i="6"/>
  <c r="H19" i="6"/>
  <c r="F25" i="8"/>
  <c r="G25" i="8"/>
  <c r="H17" i="6"/>
  <c r="G102" i="6"/>
  <c r="H102" i="6"/>
  <c r="K102" i="6"/>
  <c r="G101" i="6"/>
  <c r="H101" i="6"/>
  <c r="K101" i="6"/>
  <c r="G99" i="6"/>
  <c r="H99" i="6"/>
  <c r="G98" i="6"/>
  <c r="H98" i="6"/>
  <c r="G80" i="6"/>
  <c r="H80" i="6"/>
  <c r="G78" i="6"/>
  <c r="H78" i="6"/>
  <c r="H82" i="6"/>
  <c r="G70" i="6"/>
  <c r="H70" i="6"/>
  <c r="G69" i="6"/>
  <c r="H69" i="6"/>
  <c r="G68" i="6"/>
  <c r="H68" i="6"/>
  <c r="G67" i="6"/>
  <c r="H67" i="6"/>
  <c r="G66" i="6"/>
  <c r="H66" i="6"/>
  <c r="G63" i="6"/>
  <c r="H63" i="6"/>
  <c r="G60" i="6"/>
  <c r="H60" i="6"/>
  <c r="G31" i="6"/>
  <c r="H31" i="6"/>
  <c r="G29" i="6"/>
  <c r="H29" i="6"/>
  <c r="H25" i="9"/>
  <c r="C39" i="9"/>
  <c r="D39" i="9"/>
  <c r="I12" i="9"/>
  <c r="H16" i="9"/>
  <c r="F23" i="8"/>
  <c r="F34" i="8"/>
  <c r="F20" i="8"/>
  <c r="G20" i="8"/>
  <c r="F42" i="8"/>
  <c r="G42" i="8"/>
  <c r="F40" i="8"/>
  <c r="G40" i="8"/>
  <c r="F55" i="9"/>
  <c r="F28" i="8"/>
  <c r="G28" i="8"/>
  <c r="F33" i="8"/>
  <c r="G33" i="8"/>
  <c r="F22" i="8"/>
  <c r="G22" i="8"/>
  <c r="F56" i="9"/>
  <c r="F49" i="9"/>
  <c r="F62" i="9"/>
  <c r="G62" i="9"/>
  <c r="G24" i="6"/>
  <c r="H24" i="6"/>
  <c r="F51" i="8"/>
  <c r="G51" i="8"/>
  <c r="F61" i="9"/>
  <c r="G11" i="6"/>
  <c r="H11" i="6"/>
  <c r="G22" i="6"/>
  <c r="H22" i="6"/>
  <c r="F31" i="8"/>
  <c r="F50" i="8"/>
  <c r="G50" i="8"/>
  <c r="F48" i="9"/>
  <c r="F53" i="9"/>
  <c r="F60" i="9"/>
  <c r="G60" i="9"/>
  <c r="G20" i="6"/>
  <c r="H20" i="6"/>
  <c r="F26" i="8"/>
  <c r="G26" i="8"/>
  <c r="F37" i="8"/>
  <c r="G37" i="8"/>
  <c r="F30" i="8"/>
  <c r="F48" i="8"/>
  <c r="G48" i="8"/>
  <c r="F51" i="9"/>
  <c r="F47" i="9"/>
  <c r="F58" i="9"/>
  <c r="G58" i="9"/>
  <c r="G18" i="6"/>
  <c r="H18" i="6"/>
  <c r="F29" i="8"/>
  <c r="G29" i="8"/>
  <c r="F24" i="8"/>
  <c r="G24" i="8"/>
  <c r="F47" i="8"/>
  <c r="F50" i="9"/>
  <c r="F45" i="9"/>
  <c r="F57" i="9"/>
  <c r="G16" i="6"/>
  <c r="H16" i="6"/>
  <c r="H25" i="6"/>
  <c r="G106" i="6"/>
  <c r="H106" i="6"/>
  <c r="G89" i="6"/>
  <c r="H89" i="6"/>
  <c r="K89" i="6"/>
  <c r="G87" i="6"/>
  <c r="H87" i="6"/>
  <c r="K87" i="6"/>
  <c r="G85" i="6"/>
  <c r="H85" i="6"/>
  <c r="K85" i="6"/>
  <c r="G81" i="6"/>
  <c r="H81" i="6"/>
  <c r="I21" i="9"/>
  <c r="C40" i="9"/>
  <c r="D40" i="9"/>
  <c r="I15" i="9"/>
  <c r="C42" i="9"/>
  <c r="D42" i="9"/>
  <c r="G56" i="9"/>
  <c r="I4" i="9"/>
  <c r="H8" i="9"/>
  <c r="F16" i="7"/>
  <c r="L12" i="7"/>
  <c r="K14" i="7"/>
  <c r="G47" i="8"/>
  <c r="F52" i="7"/>
  <c r="G52" i="7"/>
  <c r="F51" i="7"/>
  <c r="K49" i="7"/>
  <c r="K54" i="7"/>
  <c r="K46" i="7"/>
  <c r="G35" i="8"/>
  <c r="K13" i="7"/>
  <c r="L13" i="7"/>
  <c r="K15" i="7"/>
  <c r="L15" i="7"/>
  <c r="K16" i="7"/>
  <c r="L16" i="7"/>
  <c r="K17" i="7"/>
  <c r="L17" i="7"/>
  <c r="G31" i="8"/>
  <c r="G23" i="8"/>
  <c r="G30" i="8"/>
  <c r="G32" i="8"/>
  <c r="G34" i="8"/>
  <c r="G18" i="8"/>
  <c r="F31" i="11"/>
  <c r="N29" i="11"/>
  <c r="F27" i="11"/>
  <c r="H27" i="11"/>
  <c r="N23" i="11"/>
  <c r="N19" i="11"/>
  <c r="G36" i="8"/>
  <c r="N8" i="11"/>
  <c r="N11" i="11"/>
  <c r="O11" i="11"/>
  <c r="N15" i="11"/>
  <c r="N17" i="11"/>
  <c r="F18" i="11"/>
  <c r="H18" i="11"/>
  <c r="N18" i="11"/>
  <c r="N20" i="11"/>
  <c r="N22" i="11"/>
  <c r="N24" i="11"/>
  <c r="N26" i="11"/>
  <c r="F28" i="11"/>
  <c r="N28" i="11"/>
  <c r="F30" i="11"/>
  <c r="N30" i="11"/>
  <c r="H30" i="11"/>
  <c r="D54" i="12"/>
  <c r="F32" i="11"/>
  <c r="N32" i="11"/>
  <c r="F33" i="11"/>
  <c r="N33" i="11"/>
  <c r="D5" i="1"/>
  <c r="D3" i="10"/>
  <c r="N31" i="11"/>
  <c r="F29" i="11"/>
  <c r="N27" i="11"/>
  <c r="N25" i="11"/>
  <c r="N21" i="11"/>
  <c r="F19" i="11"/>
  <c r="N16" i="11"/>
  <c r="N13" i="11"/>
  <c r="N7" i="11"/>
  <c r="H26" i="9"/>
  <c r="I25" i="9"/>
  <c r="H21" i="11"/>
  <c r="G57" i="9"/>
  <c r="G61" i="9"/>
  <c r="E30" i="11"/>
  <c r="G59" i="9"/>
  <c r="D5" i="10"/>
  <c r="D4" i="10"/>
  <c r="K19" i="7"/>
  <c r="D39" i="12"/>
  <c r="O18" i="11"/>
  <c r="D40" i="12"/>
  <c r="L14" i="7"/>
  <c r="L19" i="7"/>
  <c r="I8" i="9"/>
  <c r="H32" i="6"/>
  <c r="K106" i="6"/>
  <c r="G59" i="7"/>
  <c r="H12" i="6"/>
  <c r="D2" i="10"/>
  <c r="D7" i="10"/>
  <c r="D6" i="10"/>
  <c r="O21" i="11"/>
  <c r="D38" i="12"/>
  <c r="D43" i="12"/>
  <c r="D28" i="12"/>
  <c r="D41" i="12"/>
  <c r="D42" i="12"/>
  <c r="D31" i="12"/>
  <c r="D53" i="12"/>
  <c r="D37" i="12"/>
  <c r="D32" i="12"/>
  <c r="D44" i="12"/>
  <c r="G50" i="9"/>
  <c r="H105" i="6"/>
  <c r="K105" i="6"/>
  <c r="G58" i="7"/>
  <c r="H2" i="4"/>
  <c r="B13" i="8"/>
  <c r="H24" i="11"/>
  <c r="K91" i="6"/>
  <c r="G53" i="7"/>
  <c r="M53" i="7"/>
  <c r="F27" i="8"/>
  <c r="G27" i="8"/>
  <c r="G53" i="8"/>
  <c r="F52" i="9"/>
  <c r="G52" i="9"/>
  <c r="J44" i="6"/>
  <c r="H44" i="6"/>
  <c r="K44" i="6"/>
  <c r="K47" i="6"/>
  <c r="C18" i="7"/>
  <c r="G18" i="7"/>
  <c r="H39" i="6"/>
  <c r="I11" i="9"/>
  <c r="I16" i="9"/>
  <c r="H22" i="11"/>
  <c r="O22" i="11"/>
  <c r="C41" i="9"/>
  <c r="D41" i="9"/>
  <c r="H19" i="11"/>
  <c r="O13" i="11"/>
  <c r="D50" i="12"/>
  <c r="G54" i="9"/>
  <c r="I26" i="9"/>
  <c r="I31" i="6"/>
  <c r="K31" i="6"/>
  <c r="I30" i="6"/>
  <c r="K30" i="6"/>
  <c r="I29" i="6"/>
  <c r="G51" i="9"/>
  <c r="O27" i="11"/>
  <c r="G55" i="9"/>
  <c r="G53" i="9"/>
  <c r="H65" i="6"/>
  <c r="F30" i="7"/>
  <c r="I30" i="7"/>
  <c r="K30" i="7"/>
  <c r="L30" i="7"/>
  <c r="I99" i="6"/>
  <c r="I98" i="6"/>
  <c r="K98" i="6"/>
  <c r="F17" i="7"/>
  <c r="I36" i="6"/>
  <c r="I7" i="6"/>
  <c r="F12" i="7"/>
  <c r="G12" i="7"/>
  <c r="H96" i="6"/>
  <c r="H50" i="6"/>
  <c r="G45" i="8"/>
  <c r="G39" i="8"/>
  <c r="G41" i="8"/>
  <c r="H16" i="11"/>
  <c r="O16" i="11"/>
  <c r="H43" i="6"/>
  <c r="J31" i="6"/>
  <c r="F31" i="9"/>
  <c r="H23" i="11"/>
  <c r="O23" i="11"/>
  <c r="F26" i="7"/>
  <c r="F31" i="7"/>
  <c r="F33" i="7"/>
  <c r="I26" i="7"/>
  <c r="G40" i="6"/>
  <c r="H40" i="6"/>
  <c r="G71" i="6"/>
  <c r="H71" i="6"/>
  <c r="J87" i="6"/>
  <c r="H54" i="6"/>
  <c r="J30" i="6"/>
  <c r="L49" i="7"/>
  <c r="L54" i="7"/>
  <c r="F47" i="7"/>
  <c r="G47" i="7"/>
  <c r="I23" i="7"/>
  <c r="K23" i="7"/>
  <c r="L23" i="7"/>
  <c r="F15" i="11"/>
  <c r="H15" i="11"/>
  <c r="O15" i="11"/>
  <c r="H17" i="11"/>
  <c r="O17" i="11"/>
  <c r="I10" i="6"/>
  <c r="I11" i="6"/>
  <c r="I9" i="6"/>
  <c r="G45" i="9"/>
  <c r="G48" i="9"/>
  <c r="G46" i="9"/>
  <c r="G47" i="9"/>
  <c r="K26" i="7"/>
  <c r="L26" i="7"/>
  <c r="I27" i="7"/>
  <c r="K27" i="7"/>
  <c r="L27" i="7"/>
  <c r="I40" i="6"/>
  <c r="J40" i="6"/>
  <c r="I39" i="6"/>
  <c r="J39" i="6"/>
  <c r="I41" i="6"/>
  <c r="I38" i="6"/>
  <c r="I42" i="6"/>
  <c r="K29" i="6"/>
  <c r="K32" i="6"/>
  <c r="C51" i="7"/>
  <c r="G51" i="7"/>
  <c r="M51" i="7"/>
  <c r="J29" i="6"/>
  <c r="J98" i="6"/>
  <c r="M47" i="7"/>
  <c r="G48" i="7"/>
  <c r="M48" i="7"/>
  <c r="D7" i="12"/>
  <c r="O24" i="11"/>
  <c r="J99" i="6"/>
  <c r="K99" i="6"/>
  <c r="I48" i="6"/>
  <c r="I96" i="6"/>
  <c r="J96" i="6"/>
  <c r="I95" i="6"/>
  <c r="F38" i="7"/>
  <c r="F39" i="7"/>
  <c r="F40" i="7"/>
  <c r="I14" i="6"/>
  <c r="F34" i="7"/>
  <c r="G34" i="7"/>
  <c r="I58" i="6"/>
  <c r="H56" i="6"/>
  <c r="H109" i="6"/>
  <c r="K40" i="6"/>
  <c r="K96" i="6"/>
  <c r="G56" i="7"/>
  <c r="M12" i="7"/>
  <c r="G13" i="7"/>
  <c r="M13" i="7"/>
  <c r="H72" i="6"/>
  <c r="G49" i="9"/>
  <c r="D45" i="12"/>
  <c r="O19" i="11"/>
  <c r="H20" i="11"/>
  <c r="O20" i="11"/>
  <c r="J10" i="6"/>
  <c r="K10" i="6"/>
  <c r="G14" i="7"/>
  <c r="G35" i="7"/>
  <c r="G36" i="7"/>
  <c r="G49" i="7"/>
  <c r="J41" i="6"/>
  <c r="K41" i="6"/>
  <c r="G63" i="9"/>
  <c r="H25" i="11"/>
  <c r="I61" i="6"/>
  <c r="I65" i="6"/>
  <c r="I69" i="6"/>
  <c r="I60" i="6"/>
  <c r="I64" i="6"/>
  <c r="I68" i="6"/>
  <c r="I63" i="6"/>
  <c r="I67" i="6"/>
  <c r="I71" i="6"/>
  <c r="I66" i="6"/>
  <c r="I62" i="6"/>
  <c r="I70" i="6"/>
  <c r="K9" i="6"/>
  <c r="K12" i="6"/>
  <c r="J9" i="6"/>
  <c r="I52" i="6"/>
  <c r="I51" i="6"/>
  <c r="I55" i="6"/>
  <c r="I50" i="6"/>
  <c r="I54" i="6"/>
  <c r="I53" i="6"/>
  <c r="J38" i="6"/>
  <c r="K38" i="6"/>
  <c r="I17" i="6"/>
  <c r="I19" i="6"/>
  <c r="I21" i="6"/>
  <c r="I23" i="6"/>
  <c r="I16" i="6"/>
  <c r="I22" i="6"/>
  <c r="I20" i="6"/>
  <c r="I18" i="6"/>
  <c r="I24" i="6"/>
  <c r="J95" i="6"/>
  <c r="K95" i="6"/>
  <c r="G55" i="7"/>
  <c r="G60" i="7"/>
  <c r="H7" i="11"/>
  <c r="H73" i="6"/>
  <c r="K39" i="6"/>
  <c r="J42" i="6"/>
  <c r="K42" i="6"/>
  <c r="K11" i="6"/>
  <c r="J11" i="6"/>
  <c r="G37" i="7"/>
  <c r="O7" i="11"/>
  <c r="H8" i="11"/>
  <c r="J21" i="6"/>
  <c r="K21" i="6"/>
  <c r="K55" i="6"/>
  <c r="J55" i="6"/>
  <c r="J71" i="6"/>
  <c r="K71" i="6"/>
  <c r="G54" i="7"/>
  <c r="M54" i="7"/>
  <c r="M49" i="7"/>
  <c r="G50" i="7"/>
  <c r="M50" i="7"/>
  <c r="K19" i="6"/>
  <c r="J19" i="6"/>
  <c r="K70" i="6"/>
  <c r="J70" i="6"/>
  <c r="O25" i="11"/>
  <c r="D51" i="12"/>
  <c r="H26" i="11"/>
  <c r="K20" i="6"/>
  <c r="J20" i="6"/>
  <c r="C16" i="7"/>
  <c r="G16" i="7"/>
  <c r="M16" i="7"/>
  <c r="K64" i="6"/>
  <c r="J64" i="6"/>
  <c r="J61" i="6"/>
  <c r="K61" i="6"/>
  <c r="K51" i="6"/>
  <c r="J51" i="6"/>
  <c r="K60" i="6"/>
  <c r="J60" i="6"/>
  <c r="J24" i="6"/>
  <c r="K24" i="6"/>
  <c r="K16" i="6"/>
  <c r="J16" i="6"/>
  <c r="J17" i="6"/>
  <c r="K17" i="6"/>
  <c r="J54" i="6"/>
  <c r="K54" i="6"/>
  <c r="K52" i="6"/>
  <c r="J52" i="6"/>
  <c r="J62" i="6"/>
  <c r="K62" i="6"/>
  <c r="J63" i="6"/>
  <c r="K63" i="6"/>
  <c r="J69" i="6"/>
  <c r="K69" i="6"/>
  <c r="J22" i="6"/>
  <c r="K22" i="6"/>
  <c r="J53" i="6"/>
  <c r="K53" i="6"/>
  <c r="J67" i="6"/>
  <c r="K67" i="6"/>
  <c r="J18" i="6"/>
  <c r="K18" i="6"/>
  <c r="J23" i="6"/>
  <c r="K23" i="6"/>
  <c r="K43" i="6"/>
  <c r="C17" i="7"/>
  <c r="G17" i="7"/>
  <c r="M17" i="7"/>
  <c r="J50" i="6"/>
  <c r="K50" i="6"/>
  <c r="J66" i="6"/>
  <c r="K66" i="6"/>
  <c r="J68" i="6"/>
  <c r="K68" i="6"/>
  <c r="J65" i="6"/>
  <c r="K65" i="6"/>
  <c r="M14" i="7"/>
  <c r="G15" i="7"/>
  <c r="M15" i="7"/>
  <c r="O26" i="11"/>
  <c r="H28" i="11"/>
  <c r="D46" i="12"/>
  <c r="O8" i="11"/>
  <c r="K72" i="6"/>
  <c r="C39" i="7"/>
  <c r="G39" i="7"/>
  <c r="K25" i="6"/>
  <c r="G19" i="7"/>
  <c r="M19" i="7"/>
  <c r="K56" i="6"/>
  <c r="E28" i="11"/>
  <c r="O28" i="11"/>
  <c r="D52" i="12"/>
  <c r="H32" i="11"/>
  <c r="C38" i="7"/>
  <c r="G38" i="7"/>
  <c r="K109" i="6"/>
  <c r="C40" i="7"/>
  <c r="G40" i="7"/>
  <c r="K73" i="6"/>
  <c r="H29" i="11"/>
  <c r="D56" i="12"/>
  <c r="H31" i="11"/>
  <c r="E32" i="11"/>
  <c r="O32" i="11"/>
  <c r="O29" i="11"/>
  <c r="E29" i="11"/>
  <c r="G42" i="7"/>
  <c r="M42" i="7"/>
  <c r="O31" i="11"/>
  <c r="D55" i="12"/>
  <c r="E31" i="11"/>
  <c r="H33" i="11"/>
  <c r="O33" i="11"/>
  <c r="D57" i="12"/>
</calcChain>
</file>

<file path=xl/comments1.xml><?xml version="1.0" encoding="utf-8"?>
<comments xmlns="http://schemas.openxmlformats.org/spreadsheetml/2006/main">
  <authors>
    <author xml:space="preserve"> </author>
  </authors>
  <commentList>
    <comment ref="H13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Qwerty:
</t>
        </r>
        <r>
          <rPr>
            <sz val="8"/>
            <color indexed="8"/>
            <rFont val="Tahoma"/>
            <family val="2"/>
            <charset val="204"/>
          </rPr>
          <t xml:space="preserve">по договору
</t>
        </r>
      </text>
    </comment>
    <comment ref="H17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Qwerty:
</t>
        </r>
        <r>
          <rPr>
            <sz val="8"/>
            <color indexed="8"/>
            <rFont val="Tahoma"/>
            <family val="2"/>
            <charset val="204"/>
          </rPr>
          <t xml:space="preserve">по договору
</t>
        </r>
      </text>
    </comment>
  </commentList>
</comments>
</file>

<file path=xl/sharedStrings.xml><?xml version="1.0" encoding="utf-8"?>
<sst xmlns="http://schemas.openxmlformats.org/spreadsheetml/2006/main" count="1199" uniqueCount="629">
  <si>
    <t>Показатели</t>
  </si>
  <si>
    <t>Ед. измерения</t>
  </si>
  <si>
    <t>Площадь/кол-во</t>
  </si>
  <si>
    <t>Кол-во квартир</t>
  </si>
  <si>
    <t>ед</t>
  </si>
  <si>
    <t>Кол-во лицевых счетов</t>
  </si>
  <si>
    <t>Кол-во проживающих</t>
  </si>
  <si>
    <t>чел</t>
  </si>
  <si>
    <t>Общая площадь, всего, в т.ч.</t>
  </si>
  <si>
    <t>м2</t>
  </si>
  <si>
    <t>Лестничные клетки</t>
  </si>
  <si>
    <t>Места общего пользования</t>
  </si>
  <si>
    <t>Общая плозадь жилых и нежилых помещений</t>
  </si>
  <si>
    <t>площадь жилых помещений</t>
  </si>
  <si>
    <t>площадь нежилых помещений</t>
  </si>
  <si>
    <t>Площадь крыши</t>
  </si>
  <si>
    <t>Площадь чердака</t>
  </si>
  <si>
    <t>Площадь 1 этажа</t>
  </si>
  <si>
    <t>Площадь подвала</t>
  </si>
  <si>
    <t>Площадь окон</t>
  </si>
  <si>
    <t>Объем дома</t>
  </si>
  <si>
    <t>м3</t>
  </si>
  <si>
    <t>Стояки системы отопления</t>
  </si>
  <si>
    <t>шт</t>
  </si>
  <si>
    <t>Трубы чугунные Д 50 (75, 100) (для очистки) - стояки</t>
  </si>
  <si>
    <t>м</t>
  </si>
  <si>
    <t>Трубы чугунные Д 50 (75, 100) (для очистки) - дренаж</t>
  </si>
  <si>
    <t>Трубопроводы - Ливнестоки</t>
  </si>
  <si>
    <t>Трубопроводы систем центр/отопления (испытание)</t>
  </si>
  <si>
    <t>Внутренние канализационные трубопроводы - ко-во пролетов (1 пролет - 15 м)</t>
  </si>
  <si>
    <t>Задвижки</t>
  </si>
  <si>
    <t>Краны и вентили общего пользования</t>
  </si>
  <si>
    <t>Электрощитки</t>
  </si>
  <si>
    <t>ВРУ</t>
  </si>
  <si>
    <t>Количество участков электрических сетей, подлежащих электроизмерениям растекания тока</t>
  </si>
  <si>
    <t>уч</t>
  </si>
  <si>
    <t>Количество участков электрических сетей, подлежащих электроизмерениям сопративления изоляции</t>
  </si>
  <si>
    <t>Количество вентканалов</t>
  </si>
  <si>
    <t>Количество дымоходов</t>
  </si>
  <si>
    <t>Электроэнергия по светильникам, кВт (11 Вт)</t>
  </si>
  <si>
    <t>кВт</t>
  </si>
  <si>
    <t>Электроэнергия по обогревателям, кВт (10 шт по 1,5 кВт)</t>
  </si>
  <si>
    <t>Электроэнергия пна эл/двигатель лифта по мозности (5,5 кВт * кол-во * 6 час. * 365 дн. = кВт)</t>
  </si>
  <si>
    <t>Количество подъездов</t>
  </si>
  <si>
    <t>Количество этажей</t>
  </si>
  <si>
    <t>Асфальт 1 класса</t>
  </si>
  <si>
    <t>Асфальт 2 класса</t>
  </si>
  <si>
    <t>Асфальт 3 класса</t>
  </si>
  <si>
    <t>Грунт 1 класса</t>
  </si>
  <si>
    <t>Грунт 2 класса</t>
  </si>
  <si>
    <t>Грунт 3 класса</t>
  </si>
  <si>
    <t>Газон</t>
  </si>
  <si>
    <t>Мусоропровод</t>
  </si>
  <si>
    <t>Площадь мусороприемных камер</t>
  </si>
  <si>
    <t>Клапаны мусоропровода</t>
  </si>
  <si>
    <t>Ствол мусоропровода</t>
  </si>
  <si>
    <t>м/п</t>
  </si>
  <si>
    <t>Мусоросборники</t>
  </si>
  <si>
    <t>Контейнер</t>
  </si>
  <si>
    <t>Количество точек освещение подъездов</t>
  </si>
  <si>
    <t>шт.</t>
  </si>
  <si>
    <t>Количество точек освещение подвалов</t>
  </si>
  <si>
    <t>Уборка лестничных клеток</t>
  </si>
  <si>
    <t>Кол-во этажей</t>
  </si>
  <si>
    <t>Виды оборудования</t>
  </si>
  <si>
    <r>
      <rPr>
        <sz val="10"/>
        <rFont val="Arial Cyr"/>
        <charset val="204"/>
      </rPr>
      <t>Нормы обслуживания, м</t>
    </r>
    <r>
      <rPr>
        <vertAlign val="superscript"/>
        <sz val="10"/>
        <rFont val="Arial Cyr"/>
        <charset val="204"/>
      </rPr>
      <t>2</t>
    </r>
  </si>
  <si>
    <t>№ нормы</t>
  </si>
  <si>
    <t>от 2 до 5</t>
  </si>
  <si>
    <t>Оборудование отсутствует</t>
  </si>
  <si>
    <t>Лифт</t>
  </si>
  <si>
    <t>Лифт и мусоропровод</t>
  </si>
  <si>
    <t>от 6 до 9</t>
  </si>
  <si>
    <t>от 10 до16</t>
  </si>
  <si>
    <t>от 16 до 21</t>
  </si>
  <si>
    <t>Типы мусороприемников</t>
  </si>
  <si>
    <t>Количество этажей в здании</t>
  </si>
  <si>
    <t>до 5 этажей</t>
  </si>
  <si>
    <t>от 10 до 13</t>
  </si>
  <si>
    <t>от 14 до 18</t>
  </si>
  <si>
    <t>свыше 19</t>
  </si>
  <si>
    <t>на 1 этаже</t>
  </si>
  <si>
    <t>в цокольном этаже</t>
  </si>
  <si>
    <t>в подвале</t>
  </si>
  <si>
    <t>Нормы обслуживания (количество проживающих, чел)</t>
  </si>
  <si>
    <t>Переносной мусоросборник</t>
  </si>
  <si>
    <t>Бункер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</si>
  <si>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</si>
  <si>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</si>
  <si>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</si>
  <si>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</si>
  <si>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</si>
  <si>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</si>
  <si>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</si>
  <si>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</si>
  <si>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</si>
  <si>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</si>
  <si>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</si>
  <si>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</si>
  <si>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</si>
  <si>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</si>
  <si>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</si>
  <si>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Вид территории</t>
  </si>
  <si>
    <r>
      <rPr>
        <sz val="10"/>
        <rFont val="Arial Cyr"/>
        <charset val="204"/>
      </rPr>
      <t>Укрупненные нормы обслуживания в зависимости от класса территории, м</t>
    </r>
    <r>
      <rPr>
        <vertAlign val="superscript"/>
        <sz val="10"/>
        <rFont val="Arial Cyr"/>
        <charset val="204"/>
      </rPr>
      <t>2</t>
    </r>
  </si>
  <si>
    <t>С усовершенствованным покрытием</t>
  </si>
  <si>
    <t>С неусовершенствованным покрытием</t>
  </si>
  <si>
    <t>Без покрытия</t>
  </si>
  <si>
    <t>Газоны</t>
  </si>
  <si>
    <t>а</t>
  </si>
  <si>
    <t>б</t>
  </si>
  <si>
    <t>в</t>
  </si>
  <si>
    <t>Коэф-т инфляции</t>
  </si>
  <si>
    <t>коэф-та инфляции</t>
  </si>
  <si>
    <t>Страховые отчисления</t>
  </si>
  <si>
    <t>Количество рабочих часов в 2015</t>
  </si>
  <si>
    <t>Количество рабочих дней в 2015</t>
  </si>
  <si>
    <t>Количество проживающих</t>
  </si>
  <si>
    <t>Общая площадь ЖФ</t>
  </si>
  <si>
    <t>Тариф на электроэнергию в домах с газовыми плитами</t>
  </si>
  <si>
    <t xml:space="preserve">Тариф на электроэнергию в домах с электрическими плитами </t>
  </si>
  <si>
    <t>Дезинфекция подвалов</t>
  </si>
  <si>
    <t>Дератизация подвалов</t>
  </si>
  <si>
    <t>Тариф на проверку вентканала</t>
  </si>
  <si>
    <t>Тариф на проверку дымохода</t>
  </si>
  <si>
    <t xml:space="preserve">Общехозяйственные </t>
  </si>
  <si>
    <t>Э/энергия по нормативу, Квтчас</t>
  </si>
  <si>
    <t>Утилизация ламп</t>
  </si>
  <si>
    <t>Профессия</t>
  </si>
  <si>
    <t>Оклад</t>
  </si>
  <si>
    <t>Индексированный оклад</t>
  </si>
  <si>
    <t>% Премии</t>
  </si>
  <si>
    <t>% Страховых отчислений</t>
  </si>
  <si>
    <t>ФОТ и стр. отч. (месячный)</t>
  </si>
  <si>
    <t>ФОТ и стр. отч. (годовой)</t>
  </si>
  <si>
    <t>Ст-ть чл/час</t>
  </si>
  <si>
    <t>Кровельщик</t>
  </si>
  <si>
    <t>Маляр</t>
  </si>
  <si>
    <t>Плотник</t>
  </si>
  <si>
    <t>Штукатур</t>
  </si>
  <si>
    <t>Электрогазосварщик</t>
  </si>
  <si>
    <t>Подсобный рабочий</t>
  </si>
  <si>
    <t>Слесарь-сантехник 3р.</t>
  </si>
  <si>
    <t>Слесарь-сантехник 4р.</t>
  </si>
  <si>
    <t>Электромонтёр 3р.</t>
  </si>
  <si>
    <t>Инвентарь</t>
  </si>
  <si>
    <t>Цена</t>
  </si>
  <si>
    <t>Цена с учетом 1/2 ИПЦ</t>
  </si>
  <si>
    <t>Движок</t>
  </si>
  <si>
    <t>Ледоруб</t>
  </si>
  <si>
    <t>Лопата штыковая</t>
  </si>
  <si>
    <t>Лопата совковая</t>
  </si>
  <si>
    <t>Лопата снеговая</t>
  </si>
  <si>
    <t>Метла дерезовая</t>
  </si>
  <si>
    <t>Тележка</t>
  </si>
  <si>
    <t>Ведро</t>
  </si>
  <si>
    <t>Грабли</t>
  </si>
  <si>
    <t>Грабли веерные</t>
  </si>
  <si>
    <t>Метла с сентетическим ворсом</t>
  </si>
  <si>
    <t>Мешки</t>
  </si>
  <si>
    <t>Шланг поливочный</t>
  </si>
  <si>
    <t>Щетка+совок</t>
  </si>
  <si>
    <t>Швабра</t>
  </si>
  <si>
    <t>Веник обыкновенный</t>
  </si>
  <si>
    <t>Совок</t>
  </si>
  <si>
    <t>Материалы</t>
  </si>
  <si>
    <r>
      <rPr>
        <sz val="11"/>
        <rFont val="Arial Cyr"/>
        <charset val="204"/>
      </rPr>
      <t>Песок, м</t>
    </r>
    <r>
      <rPr>
        <vertAlign val="superscript"/>
        <sz val="11"/>
        <rFont val="Arial Cyr"/>
        <charset val="204"/>
      </rPr>
      <t>3</t>
    </r>
  </si>
  <si>
    <t>Галит, т</t>
  </si>
  <si>
    <t>Песко-соляная смесь + доставка</t>
  </si>
  <si>
    <t>Мешковина, м</t>
  </si>
  <si>
    <t>Моющее средство (для окон), л</t>
  </si>
  <si>
    <t>Моющее средство (для пола), л</t>
  </si>
  <si>
    <t>Мыло жидкое</t>
  </si>
  <si>
    <t>Порошок</t>
  </si>
  <si>
    <t>Электро лампа (Энергосберегающая)</t>
  </si>
  <si>
    <t>Электро лампа (Лампа накаливания)</t>
  </si>
  <si>
    <t>Спецодежда</t>
  </si>
  <si>
    <t>Костюм х/б</t>
  </si>
  <si>
    <t>Жилет сигнальный 2-го класса защиты</t>
  </si>
  <si>
    <t>Ботинки кожанные</t>
  </si>
  <si>
    <t>Сапоги резиновые</t>
  </si>
  <si>
    <t>Рукавицы комбинированные</t>
  </si>
  <si>
    <t>Перчатки</t>
  </si>
  <si>
    <t>Перчатки резиновые</t>
  </si>
  <si>
    <t>Плащ непромокаемый</t>
  </si>
  <si>
    <t>Куртка на утепляющей прокладке</t>
  </si>
  <si>
    <t>Халат х/б</t>
  </si>
  <si>
    <t>Перчатки с полимерным покрытием</t>
  </si>
  <si>
    <t>Перчатки диэлектрические</t>
  </si>
  <si>
    <t>Галоши диэлектрические</t>
  </si>
  <si>
    <t>Костюм сикнальный с водоотталкивающей пропиткой 2-го класса защиты</t>
  </si>
  <si>
    <t>Ботинки кирзовые</t>
  </si>
  <si>
    <t>Каска защитная</t>
  </si>
  <si>
    <t>Подшлемник под каску</t>
  </si>
  <si>
    <t>Пояс предохранительный с канатом страховочным</t>
  </si>
  <si>
    <t>Брюки на утепляющей прокладке</t>
  </si>
  <si>
    <t>Костюм сварщика</t>
  </si>
  <si>
    <t>Белье нательное</t>
  </si>
  <si>
    <t>Рукавицы брезентовые</t>
  </si>
  <si>
    <t>Каска защиитная со щитком</t>
  </si>
  <si>
    <t>Маска защитная</t>
  </si>
  <si>
    <t>Подшлемник под каску утепленный</t>
  </si>
  <si>
    <t>Перчатки зимние двупальные</t>
  </si>
  <si>
    <t>Костюм на утепляющей прокладке</t>
  </si>
  <si>
    <t>Затраты на спецодежду, инвентарь (прик 191, нормы по спецодежде)</t>
  </si>
  <si>
    <t>таблица № 2</t>
  </si>
  <si>
    <t>Примечание</t>
  </si>
  <si>
    <t>Норма</t>
  </si>
  <si>
    <t>факт период работы в год (мес, раз)</t>
  </si>
  <si>
    <t>норма на год,       (кол-во/     1 ед.)</t>
  </si>
  <si>
    <t>стоимость за ед.</t>
  </si>
  <si>
    <t>сумма на год руб/раб (ед )</t>
  </si>
  <si>
    <t>Норма на год исходя из численности</t>
  </si>
  <si>
    <t>Сумма на год исходя из численности, руб. без НДС</t>
  </si>
  <si>
    <t>период мес (ед. изм)</t>
  </si>
  <si>
    <t>кол-во</t>
  </si>
  <si>
    <t>гр4/гр3 х    гр 5</t>
  </si>
  <si>
    <t>руб, с НДС</t>
  </si>
  <si>
    <t>гр. 6 х            гр. 7</t>
  </si>
  <si>
    <t>числен/ площадь</t>
  </si>
  <si>
    <t>кол-во            гр. 6 х гр.9</t>
  </si>
  <si>
    <t xml:space="preserve"> гр. 8 х гр. 9</t>
  </si>
  <si>
    <t xml:space="preserve">Халат х/б </t>
  </si>
  <si>
    <t>Перчатки х/б</t>
  </si>
  <si>
    <t>Итого</t>
  </si>
  <si>
    <t>Дворник</t>
  </si>
  <si>
    <t>Ботинки кожаные</t>
  </si>
  <si>
    <t>Рабочий по обслужив мусоропровода</t>
  </si>
  <si>
    <t>Костюм х/б (халат)</t>
  </si>
  <si>
    <t>Рукавицы комбиниров</t>
  </si>
  <si>
    <t>Мешковина</t>
  </si>
  <si>
    <t>Моющее средство для окон</t>
  </si>
  <si>
    <t>Моющее средство для пола</t>
  </si>
  <si>
    <t>Дворник - зима (5,5 мес)</t>
  </si>
  <si>
    <t>Итого зима</t>
  </si>
  <si>
    <t>Дворник - лето (6,5 мес)</t>
  </si>
  <si>
    <t>Мешки п/этил 20л</t>
  </si>
  <si>
    <t>Шланг поливочный (25 п.м.)</t>
  </si>
  <si>
    <t>Итого лето</t>
  </si>
  <si>
    <t>Всего зима + лето</t>
  </si>
  <si>
    <t>Песко-соляная смесь</t>
  </si>
  <si>
    <t xml:space="preserve">3 м3/1000  м2 территории для посыпки </t>
  </si>
  <si>
    <t>Метла</t>
  </si>
  <si>
    <t>Шланг полив 25 п.м.</t>
  </si>
  <si>
    <t>Щетка</t>
  </si>
  <si>
    <t>Материальные расходы на обслуживание мусоропровода</t>
  </si>
  <si>
    <t>Уборка мусороприемных камер</t>
  </si>
  <si>
    <t xml:space="preserve">Моющее средство 20г/1кв.м* ч/д -183 раза </t>
  </si>
  <si>
    <t>0,02 кг х 183 дней  х шт</t>
  </si>
  <si>
    <t>Уборка клапанов мусоропровода</t>
  </si>
  <si>
    <t>Моющее средство 0,2 кг/10 шт * 1 раз в неделю</t>
  </si>
  <si>
    <t>0,2кг/10*52 недели * кол-во клапанов</t>
  </si>
  <si>
    <t>Дезинфекция мусоропровода</t>
  </si>
  <si>
    <t>Моющее средство 1,5кг/100м ствола * 12 раз в год</t>
  </si>
  <si>
    <t>1,5 кг /100 м х 12 раз  = кол-во</t>
  </si>
  <si>
    <t>ИТОГО материальные расходы мус/проводов</t>
  </si>
  <si>
    <t>Материалы для собственных нужд</t>
  </si>
  <si>
    <t>Дворники</t>
  </si>
  <si>
    <t>1 шт на 1 раб</t>
  </si>
  <si>
    <t>Уборщики</t>
  </si>
  <si>
    <t>Уборщики мусоропроводов</t>
  </si>
  <si>
    <t>Прочие материалы</t>
  </si>
  <si>
    <t>Эл/лампочки для подъездов</t>
  </si>
  <si>
    <t>Эл/лампочки для подвалов</t>
  </si>
  <si>
    <t>Лампа над подъездом</t>
  </si>
  <si>
    <t>1 шт.* кол-во подъездов</t>
  </si>
  <si>
    <t>Всего санитарное содержание в год</t>
  </si>
  <si>
    <t>Санитарное содержание жилых зданий и придомовой территории</t>
  </si>
  <si>
    <t>таб № 1</t>
  </si>
  <si>
    <t>таблица № 1</t>
  </si>
  <si>
    <t>руб.</t>
  </si>
  <si>
    <t>Ед. изм</t>
  </si>
  <si>
    <t>нормы уборки, спецодежда, инвентарь по 139, 191 приказу</t>
  </si>
  <si>
    <t>нормы уборки и расчет тарифа, действующие в 2008 году по Службе Заказчика</t>
  </si>
  <si>
    <t>Основные тарифы</t>
  </si>
  <si>
    <t>Площадь/ кол-во</t>
  </si>
  <si>
    <t>Норма обслужив-я</t>
  </si>
  <si>
    <t>Численность</t>
  </si>
  <si>
    <t>расходы в год</t>
  </si>
  <si>
    <t>Площадь (чел)</t>
  </si>
  <si>
    <t>Тариф на 100 кв.м.(1 чел)</t>
  </si>
  <si>
    <t>расходы в месяц</t>
  </si>
  <si>
    <t>отклонения  гр 6 - гр 12</t>
  </si>
  <si>
    <t>чел.</t>
  </si>
  <si>
    <t>Жилая площадь</t>
  </si>
  <si>
    <t>Расчет численности</t>
  </si>
  <si>
    <t>Х</t>
  </si>
  <si>
    <t>Коэф невыходов (на отпуск, б/л, прочие)</t>
  </si>
  <si>
    <t>ИТОГО численность уборщиц</t>
  </si>
  <si>
    <r>
      <rPr>
        <sz val="10"/>
        <rFont val="Arial Cyr"/>
        <charset val="204"/>
      </rPr>
      <t xml:space="preserve">Заработная плата </t>
    </r>
    <r>
      <rPr>
        <sz val="8"/>
        <rFont val="Arial Cyr"/>
        <charset val="204"/>
      </rPr>
      <t>(ставка рабочего 1 разряда * 1,25 * тарифный коэффициент)</t>
    </r>
  </si>
  <si>
    <t>руб./мес</t>
  </si>
  <si>
    <t>Премия</t>
  </si>
  <si>
    <t>%</t>
  </si>
  <si>
    <t>ИТОГО ФОТ</t>
  </si>
  <si>
    <t>руб./год</t>
  </si>
  <si>
    <t>руб/раб год</t>
  </si>
  <si>
    <t xml:space="preserve">Инвентарь </t>
  </si>
  <si>
    <t>ИТОГО производственная себестоимость содержания л/клеток</t>
  </si>
  <si>
    <t>Уборка придомовых территорий</t>
  </si>
  <si>
    <t>Период</t>
  </si>
  <si>
    <t>Тариф на 100 кв.м.</t>
  </si>
  <si>
    <r>
      <rPr>
        <sz val="10"/>
        <rFont val="Arial Cyr"/>
        <charset val="204"/>
      </rPr>
      <t xml:space="preserve">Расчет численности </t>
    </r>
    <r>
      <rPr>
        <sz val="9"/>
        <rFont val="Arial Cyr"/>
        <charset val="204"/>
      </rPr>
      <t>(прик. 139, таб.17)</t>
    </r>
  </si>
  <si>
    <t>асфальт 1 класс</t>
  </si>
  <si>
    <t>асфальт 2 класс</t>
  </si>
  <si>
    <t xml:space="preserve">  </t>
  </si>
  <si>
    <t>асфальт 3 класс</t>
  </si>
  <si>
    <t>грунт 1 класс</t>
  </si>
  <si>
    <t>грунт 2 класс</t>
  </si>
  <si>
    <t>грунт 3 класс</t>
  </si>
  <si>
    <t>газон</t>
  </si>
  <si>
    <t xml:space="preserve">Всего численность </t>
  </si>
  <si>
    <t>Коэффициент невыходов = 1,12</t>
  </si>
  <si>
    <t>ИТОГО численность дворников</t>
  </si>
  <si>
    <t>руб/мес</t>
  </si>
  <si>
    <t>Спецодежда (лето-зима)</t>
  </si>
  <si>
    <t>Инвентарь  лето</t>
  </si>
  <si>
    <t>Инвентарь  зима</t>
  </si>
  <si>
    <t>руб/ год</t>
  </si>
  <si>
    <t xml:space="preserve">ИТОГО производств себестоимость содержания дворовой территории </t>
  </si>
  <si>
    <t>Обслуживание мусоропровода</t>
  </si>
  <si>
    <t>Численность, ед с ручной загрузкой (числ прожив / норматив)</t>
  </si>
  <si>
    <t>Коэффициент невыходов =1,12</t>
  </si>
  <si>
    <t>ИТОГО численность мусоропроводчиков</t>
  </si>
  <si>
    <t xml:space="preserve">ЕСН </t>
  </si>
  <si>
    <t>Материальные расходы</t>
  </si>
  <si>
    <t>Итого производств себестоимость содержания  мусоропровода</t>
  </si>
  <si>
    <t>Итого прочие затраты по санитарному содержанию</t>
  </si>
  <si>
    <t>Материал стен</t>
  </si>
  <si>
    <t>кирпичные и каменные здания</t>
  </si>
  <si>
    <t>Тип кровли</t>
  </si>
  <si>
    <t>твердое покрытие</t>
  </si>
  <si>
    <t>(мягкое покрытие, твердое покрытие)</t>
  </si>
  <si>
    <t>Расчет численности рабочих по ремонту конструктивных элементов</t>
  </si>
  <si>
    <t>коэфф.</t>
  </si>
  <si>
    <t>срок эксплуатации</t>
  </si>
  <si>
    <t>Наименование профессий</t>
  </si>
  <si>
    <t>Ед. изм.</t>
  </si>
  <si>
    <t>Нормативная численность на единицу измерения, чел</t>
  </si>
  <si>
    <t>Данные для расчета</t>
  </si>
  <si>
    <t>Численность, чел</t>
  </si>
  <si>
    <t>крупно-панельные блочные здания</t>
  </si>
  <si>
    <t>деревянные здания и из других материалов</t>
  </si>
  <si>
    <t>ссылка на приказ 139</t>
  </si>
  <si>
    <t>до 10 лет</t>
  </si>
  <si>
    <t>применяется в домах после кап.ремонта</t>
  </si>
  <si>
    <t>Кровельщик по рулонным кровлям и по кровлям из штучных материалов</t>
  </si>
  <si>
    <r>
      <rPr>
        <sz val="10"/>
        <rFont val="Arial Cyr"/>
        <charset val="204"/>
      </rPr>
      <t>1000 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>кровли из рубероида, толя и других рулонных материалов</t>
    </r>
  </si>
  <si>
    <t>ч. 3 п. 2.2.10 (т 10 п.2)</t>
  </si>
  <si>
    <t xml:space="preserve">с 11 до 30 лет </t>
  </si>
  <si>
    <r>
      <rPr>
        <sz val="10"/>
        <rFont val="Arial Cyr"/>
        <charset val="204"/>
      </rPr>
      <t>1000 м</t>
    </r>
    <r>
      <rPr>
        <vertAlign val="superscript"/>
        <sz val="10"/>
        <rFont val="Arial Cyr"/>
        <charset val="204"/>
      </rPr>
      <t>2</t>
    </r>
    <r>
      <rPr>
        <sz val="10"/>
        <rFont val="Arial Cyr"/>
        <charset val="204"/>
      </rPr>
      <t xml:space="preserve"> кровли из шифера, асбоцемента, черепицы и прочих материалов</t>
    </r>
  </si>
  <si>
    <t>ч. 3 п. 2.2.10 (т 10 п.3)</t>
  </si>
  <si>
    <t>свыше 30 лет</t>
  </si>
  <si>
    <r>
      <rPr>
        <sz val="10"/>
        <rFont val="Arial Cyr"/>
        <charset val="204"/>
      </rPr>
      <t>1000 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>общей площади</t>
    </r>
  </si>
  <si>
    <t>ч. 3 п. 2.2.10 (т 10 п.7)</t>
  </si>
  <si>
    <t>ч. 3 п. 2.2.10 (т 10 п.12)</t>
  </si>
  <si>
    <t>ч. 3 п. 2.2.10 (т 10 п.18)</t>
  </si>
  <si>
    <r>
      <rPr>
        <sz val="10"/>
        <rFont val="Arial Cyr"/>
        <charset val="204"/>
      </rPr>
      <t>1000 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>общей площади чердаков и подвалов</t>
    </r>
  </si>
  <si>
    <t>ч. 3 п. 2.2.10 (т 10 п.19)</t>
  </si>
  <si>
    <t>Годовой ФОТ</t>
  </si>
  <si>
    <t>Наименование спецодежды</t>
  </si>
  <si>
    <t>Норма носки, мес</t>
  </si>
  <si>
    <t>Кол-во на год</t>
  </si>
  <si>
    <t>Цена с НДС, руб</t>
  </si>
  <si>
    <t>Затраты на спецодежду, руб</t>
  </si>
  <si>
    <t>костюм сигнальный с водоотталкивающей пропиткой 2-го класса защиты</t>
  </si>
  <si>
    <t>пар</t>
  </si>
  <si>
    <t>До износа</t>
  </si>
  <si>
    <t>перчатки трикотажные</t>
  </si>
  <si>
    <t>Дежурные</t>
  </si>
  <si>
    <t>Каска защитная со щитком</t>
  </si>
  <si>
    <t>маска защитная</t>
  </si>
  <si>
    <t>Сапоки кожаные утепленные</t>
  </si>
  <si>
    <t>перчатки зимние двупальные</t>
  </si>
  <si>
    <t>Итого на спецодежду</t>
  </si>
  <si>
    <t>Наименование работ</t>
  </si>
  <si>
    <t>Объем работ</t>
  </si>
  <si>
    <t>Периодичность в год</t>
  </si>
  <si>
    <t>Состав звена</t>
  </si>
  <si>
    <t>Разряд рабочих</t>
  </si>
  <si>
    <t>Нормы времени, чел-час</t>
  </si>
  <si>
    <t>Кол-во времени, чел-час</t>
  </si>
  <si>
    <t>Стоимость работ, руб</t>
  </si>
  <si>
    <t>Подготовка многоквартирного дома к сезонной эксплуатации</t>
  </si>
  <si>
    <t>Прочистка ливнестоков</t>
  </si>
  <si>
    <t>1 м. тр.</t>
  </si>
  <si>
    <t>Слесарь-сантехник</t>
  </si>
  <si>
    <t>п.2.2.1.2 (т2 п.14)</t>
  </si>
  <si>
    <t>Ремонт и регулировка задвижек ХВС</t>
  </si>
  <si>
    <t>1 задвижка</t>
  </si>
  <si>
    <t>п.2.2.2.1 (т4 п.44)</t>
  </si>
  <si>
    <t>Опрессовка и промывка трубопроводов системы  центрального отопления</t>
  </si>
  <si>
    <t>100 куб.м.</t>
  </si>
  <si>
    <t>п.2.2.2.1 (т4 п.36)</t>
  </si>
  <si>
    <t>Ликвидация воздушных пробок в системе центрального отопления (наладка системы - стояки)</t>
  </si>
  <si>
    <t>1 стояк</t>
  </si>
  <si>
    <t>п.2.2.2.1 (т1 п.9)</t>
  </si>
  <si>
    <t>Испытание трубопроводов системы центрального отопления (Наладка системы отопления)</t>
  </si>
  <si>
    <t>100 м трубопровода</t>
  </si>
  <si>
    <t>п.2.2.2.1 (т4 п.37)</t>
  </si>
  <si>
    <t>Профосмотры</t>
  </si>
  <si>
    <t>Осмотр системы ЦО. Внутриквартирные устройства</t>
  </si>
  <si>
    <r>
      <rPr>
        <sz val="10"/>
        <rFont val="Arial Cyr"/>
        <charset val="204"/>
      </rPr>
      <t>1000 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>жилых помещений</t>
    </r>
  </si>
  <si>
    <t>п.2.2.1.1(т1 п.14)</t>
  </si>
  <si>
    <t>Осмотр систем ЦО. Устройства в подвальных помещениях (7 мес. Отопительного сезона)</t>
  </si>
  <si>
    <r>
      <rPr>
        <sz val="10"/>
        <rFont val="Arial Cyr"/>
        <charset val="204"/>
      </rPr>
      <t>1000 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>осматриваемых помещений</t>
    </r>
  </si>
  <si>
    <t>п.2.2.1.1(т1 п.15)</t>
  </si>
  <si>
    <t>Осмотр систем холодного водоснабжения и водоотведения в подвальных помещениях</t>
  </si>
  <si>
    <t>Осмотр систем гор/водоснабжения в чердачных помещениях</t>
  </si>
  <si>
    <t>Осмотр линий электрических сетей, арматуры, электрооборудования на лестничных площадках</t>
  </si>
  <si>
    <t>100 лестн площадок 1 раз в месяц</t>
  </si>
  <si>
    <t>Электромонтер</t>
  </si>
  <si>
    <t>п.2.2.1.3 (т 3 п.7)</t>
  </si>
  <si>
    <t>Осмотр линий электрических сетей, арматуры, электрооборудования в подвальных помещениях</t>
  </si>
  <si>
    <r>
      <rPr>
        <sz val="10"/>
        <rFont val="Arial Cyr"/>
        <charset val="204"/>
      </rPr>
      <t>1000 м</t>
    </r>
    <r>
      <rPr>
        <vertAlign val="superscript"/>
        <sz val="10"/>
        <rFont val="Arial Cyr"/>
        <charset val="204"/>
      </rPr>
      <t xml:space="preserve">2 </t>
    </r>
    <r>
      <rPr>
        <sz val="10"/>
        <rFont val="Arial Cyr"/>
        <charset val="204"/>
      </rPr>
      <t>осматриваемых помещений 1 раз в квартал</t>
    </r>
  </si>
  <si>
    <t>п.2.2.1.3 (т 3 п.6)</t>
  </si>
  <si>
    <t>Техническое обслуживание внутридомовых инженерных сетей и МОП</t>
  </si>
  <si>
    <t>Очистка техэтажей от мусора со сбором его в тару и отноской в установленное место</t>
  </si>
  <si>
    <r>
      <rPr>
        <sz val="10"/>
        <rFont val="Arial Cyr"/>
        <charset val="204"/>
      </rPr>
      <t>1 м</t>
    </r>
    <r>
      <rPr>
        <vertAlign val="superscript"/>
        <sz val="10"/>
        <rFont val="Arial Cyr"/>
        <charset val="204"/>
      </rPr>
      <t>2</t>
    </r>
  </si>
  <si>
    <t>ч3 п.2.2.4(т4 п.66)</t>
  </si>
  <si>
    <t>Очистка кровли от мусора и грязи</t>
  </si>
  <si>
    <t>Очистка кровли от снега</t>
  </si>
  <si>
    <t>1 кв.м. кровли</t>
  </si>
  <si>
    <t>ч3 п.2.2.4(т4 п.67)</t>
  </si>
  <si>
    <t>Ревизия вентилей в местах общего пользования</t>
  </si>
  <si>
    <t>1 кран</t>
  </si>
  <si>
    <t>п.2.2.1.1(т1 п.3)</t>
  </si>
  <si>
    <t>Устранение засоров внутренних канализационных трубопроводов</t>
  </si>
  <si>
    <t>1 пролет между ревизиями - 15 м</t>
  </si>
  <si>
    <t>п.2.2.2.2(т 5 п.32)</t>
  </si>
  <si>
    <t>Ремонт электрощитов</t>
  </si>
  <si>
    <t>1 щит</t>
  </si>
  <si>
    <t>п.2.2.2.3(т 6 п.12)</t>
  </si>
  <si>
    <t>Ремонт ВРУ - входн распред устройство (ревизия)</t>
  </si>
  <si>
    <t>Итого профработы</t>
  </si>
  <si>
    <t>Тариф за единицу измерения, руб</t>
  </si>
  <si>
    <t>Измерение сопративления растекания тока заземляющего устройства с диаг. До 20м (1 замер)</t>
  </si>
  <si>
    <t>1 участок</t>
  </si>
  <si>
    <t>по договору с ООО Завод ЖБК-1</t>
  </si>
  <si>
    <t>Измерение сопративления изоляции мегаомметром (эл. Линий напряжением до 1 кВ)</t>
  </si>
  <si>
    <t>1 эл. сеть</t>
  </si>
  <si>
    <t>Замена люминесцентных ламп</t>
  </si>
  <si>
    <t>Снятие плафона или рассеивателя (при необходимости) замена источника света, установка плафона</t>
  </si>
  <si>
    <t>1 лампа</t>
  </si>
  <si>
    <t>п.2.2.1.3 (т 3 п.1)</t>
  </si>
  <si>
    <t>Итого замена ламп</t>
  </si>
  <si>
    <t>Численность рабочих</t>
  </si>
  <si>
    <t>Разряд</t>
  </si>
  <si>
    <t>Затраты времени, чел-час</t>
  </si>
  <si>
    <t>Руковицы комбинированные</t>
  </si>
  <si>
    <t>Показатель</t>
  </si>
  <si>
    <t>Денежное выражение, руб</t>
  </si>
  <si>
    <r>
      <rPr>
        <sz val="11"/>
        <rFont val="Arial Cyr"/>
        <charset val="204"/>
      </rPr>
      <t>Затраты на весь ЖФ, руб/м</t>
    </r>
    <r>
      <rPr>
        <vertAlign val="superscript"/>
        <sz val="11"/>
        <rFont val="Arial Cyr"/>
        <charset val="204"/>
      </rPr>
      <t>2</t>
    </r>
  </si>
  <si>
    <t>Затраты на дом, руб</t>
  </si>
  <si>
    <r>
      <rPr>
        <sz val="11"/>
        <rFont val="Arial Cyr"/>
        <charset val="204"/>
      </rPr>
      <t>Месячная з/п  с учетом всех надбавок, коэф-та невыхода, дефлятора и ЕСН</t>
    </r>
    <r>
      <rPr>
        <vertAlign val="superscript"/>
        <sz val="11"/>
        <rFont val="Arial Cyr"/>
        <charset val="204"/>
      </rPr>
      <t>1</t>
    </r>
  </si>
  <si>
    <t xml:space="preserve">Месячная амортизация </t>
  </si>
  <si>
    <t xml:space="preserve">Месячные затраты на бензин  </t>
  </si>
  <si>
    <t>Страхование</t>
  </si>
  <si>
    <t>ТО</t>
  </si>
  <si>
    <t>Сводная таблица "Содержание жилого дома по  видам работ"</t>
  </si>
  <si>
    <t>Примечания</t>
  </si>
  <si>
    <t>Основные тарифы, руб.</t>
  </si>
  <si>
    <t>Норма/ периодичность</t>
  </si>
  <si>
    <t xml:space="preserve">Производств стоимость (или стоимость приобрет услуг)  в год, руб. без НДС      </t>
  </si>
  <si>
    <t>объемы работ предусм максим</t>
  </si>
  <si>
    <t>Площадь ж и н/помещ кв.м.</t>
  </si>
  <si>
    <t>Итого цена содержания ж/помещ руб/кв.м.</t>
  </si>
  <si>
    <t>число</t>
  </si>
  <si>
    <t>исх дан</t>
  </si>
  <si>
    <t>гр. 5 х гр. 6 х гр. 7</t>
  </si>
  <si>
    <t>исход дан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</si>
  <si>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</si>
  <si>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</si>
  <si>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</si>
  <si>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</si>
  <si>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</si>
  <si>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</si>
  <si>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</si>
  <si>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</si>
  <si>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</si>
  <si>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</si>
  <si>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</si>
  <si>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</si>
  <si>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</si>
  <si>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Материальные затраты </t>
  </si>
  <si>
    <t>Эл.лампы</t>
  </si>
  <si>
    <t>ИТОГО материальные затраты</t>
  </si>
  <si>
    <t>Вентканалы и дымоходы</t>
  </si>
  <si>
    <t xml:space="preserve">Проверка и прочистка дымоходов </t>
  </si>
  <si>
    <t>3 раза в год</t>
  </si>
  <si>
    <t>Проверка и прочистка вентканалов</t>
  </si>
  <si>
    <t>ИТОГО проверка и прочистка вентканалов</t>
  </si>
  <si>
    <t>Дезинсекция и дератизация</t>
  </si>
  <si>
    <t>Дезинсекция подвалов</t>
  </si>
  <si>
    <t>1 раз в год</t>
  </si>
  <si>
    <t>1 м2</t>
  </si>
  <si>
    <t>ИТОГО дезинфекция и дезинсекция подвалов</t>
  </si>
  <si>
    <t>Аварийное обслуживание</t>
  </si>
  <si>
    <t xml:space="preserve"> руб/ кв.м.в м-ц</t>
  </si>
  <si>
    <t>Техобслуживание вводных и внутренних газопроводов</t>
  </si>
  <si>
    <t>14</t>
  </si>
  <si>
    <t>ИТОГО прочее сан и техобслуживание</t>
  </si>
  <si>
    <t>15</t>
  </si>
  <si>
    <t>Профработы по 139 приказу</t>
  </si>
  <si>
    <t>16</t>
  </si>
  <si>
    <t>Профосмотры по 139 приказу</t>
  </si>
  <si>
    <t>17</t>
  </si>
  <si>
    <t>Проверка заземления оболочки электрокабеля, замеры сопротивления изоляции проводов</t>
  </si>
  <si>
    <t>18</t>
  </si>
  <si>
    <t>Техобслуживание и ремонт конструктивных элементов.</t>
  </si>
  <si>
    <t>19</t>
  </si>
  <si>
    <t>Затраты по охране труда</t>
  </si>
  <si>
    <t>20</t>
  </si>
  <si>
    <t xml:space="preserve">ИТОГО профработы, профосмотры, доп. обслуж. </t>
  </si>
  <si>
    <t>21</t>
  </si>
  <si>
    <t>Транспортные расходы</t>
  </si>
  <si>
    <t>Постоянно</t>
  </si>
  <si>
    <t>22</t>
  </si>
  <si>
    <t xml:space="preserve">Непредвиденные работы по текущему ремонту общего имущества жилого дома </t>
  </si>
  <si>
    <t>По мере необходимости</t>
  </si>
  <si>
    <t>23</t>
  </si>
  <si>
    <t xml:space="preserve">Услуги ООО "РРКЦ" </t>
  </si>
  <si>
    <t>по договору</t>
  </si>
  <si>
    <t>24</t>
  </si>
  <si>
    <t>Общеэксплуатационные расходы</t>
  </si>
  <si>
    <t>25</t>
  </si>
  <si>
    <t>Внеэксплуатационные расходы</t>
  </si>
  <si>
    <t>сумма налогов</t>
  </si>
  <si>
    <t>26</t>
  </si>
  <si>
    <t>Рентабельность</t>
  </si>
  <si>
    <t>27</t>
  </si>
  <si>
    <t>Итого затрат</t>
  </si>
  <si>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</si>
  <si>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</si>
  <si>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</si>
  <si>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</si>
  <si>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</si>
  <si>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</si>
  <si>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</si>
  <si>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</si>
  <si>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</si>
  <si>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</si>
  <si>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</si>
  <si>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</si>
  <si>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</si>
  <si>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</si>
  <si>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</si>
  <si>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</si>
  <si>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</si>
  <si>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</si>
  <si>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</si>
  <si>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</si>
  <si>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</si>
  <si>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</si>
  <si>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</si>
  <si>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1.2.3.</t>
  </si>
  <si>
    <t>Восстановление поврежденных участков штукатурки и облицовки</t>
  </si>
  <si>
    <t>1.2.4.</t>
  </si>
  <si>
    <t>1.2.5.</t>
  </si>
  <si>
    <t>Восстановление приямков, входов в подвалы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</si>
  <si>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</si>
  <si>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</si>
  <si>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</si>
  <si>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</si>
  <si>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</si>
  <si>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</si>
  <si>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</si>
  <si>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</si>
  <si>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</si>
  <si>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</si>
  <si>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</si>
  <si>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</si>
  <si>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</si>
  <si>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</si>
  <si>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</si>
  <si>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</si>
  <si>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</si>
  <si>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</si>
  <si>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</si>
  <si>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</si>
  <si>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</si>
  <si>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</si>
  <si>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</si>
  <si>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</si>
  <si>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</si>
  <si>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</si>
  <si>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</si>
  <si>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2.2.</t>
  </si>
  <si>
    <t>Общие и частичные осмотры и обследования</t>
  </si>
  <si>
    <t>2.2.1.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</si>
  <si>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</si>
  <si>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</si>
  <si>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</si>
  <si>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2.3.</t>
  </si>
  <si>
    <t>2.3.1.</t>
  </si>
  <si>
    <t>2.3.2.</t>
  </si>
  <si>
    <t>2.3.3.</t>
  </si>
  <si>
    <t>Проверка и прочистка дымоходов и вентканалов</t>
  </si>
  <si>
    <t>2.3.4.</t>
  </si>
  <si>
    <t>2.3.6.</t>
  </si>
  <si>
    <t>2.3.8.</t>
  </si>
  <si>
    <t>Удаление с крыш снега и наледи</t>
  </si>
  <si>
    <t>2.3.9.</t>
  </si>
  <si>
    <t>1 раз в 3 года</t>
  </si>
  <si>
    <t>2.3.10.</t>
  </si>
  <si>
    <t>Материальные затраты на техническое обслуживание</t>
  </si>
  <si>
    <t>2.4.</t>
  </si>
  <si>
    <t>Мелкий ремонт</t>
  </si>
  <si>
    <t>2.4.1.</t>
  </si>
  <si>
    <t>Ремонт ВРУ</t>
  </si>
  <si>
    <t>III.  Прочее</t>
  </si>
  <si>
    <t>3.1.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</si>
  <si>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</si>
  <si>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</si>
  <si>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</si>
  <si>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</si>
  <si>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</si>
  <si>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</si>
  <si>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</si>
  <si>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3.6.</t>
  </si>
  <si>
    <t>3.7.</t>
  </si>
  <si>
    <t>2.1.2.</t>
  </si>
  <si>
    <t xml:space="preserve">Устранение завалов 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</si>
  <si>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</si>
  <si>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</si>
  <si>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2.3.7.</t>
  </si>
  <si>
    <t>2.3.5</t>
  </si>
  <si>
    <t>Утепление подъездов</t>
  </si>
  <si>
    <t>УТВЕРЖДАЮ:
Заместитель главы администрации 
Ивнянского района 
по отраслевому развитию
_________________________ Д.А. Беликов
Белгородская обл., п. Ивня, ул. Ленина, д. 20
тел. 8 (47243) 5-11-38
«____» _____________ 2018 г.</t>
  </si>
  <si>
    <r>
      <rPr>
        <b/>
        <sz val="10"/>
        <rFont val="Arial Cyr"/>
        <charset val="204"/>
      </rPr>
      <t>ПЕРЕЧЕНЬ</t>
    </r>
    <r>
      <rPr>
        <sz val="10"/>
        <rFont val="Arial Cyr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5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</si>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</sst>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2" formatCode="0.0"/>
    <numFmt numFmtId="173" formatCode="_-* #,##0.00_р_._-;\-* #,##0.00_р_._-;_-* \-??_р_._-;_-@_-"/>
    <numFmt numFmtId="174" formatCode="_-* #,##0_р_._-;\-* #,##0_р_._-;_-* \-??_р_._-;_-@_-"/>
    <numFmt numFmtId="175" formatCode="0.000"/>
    <numFmt numFmtId="176" formatCode="0.000000"/>
    <numFmt numFmtId="177" formatCode="#,##0.00_ ;\-#,##0.00\ "/>
    <numFmt numFmtId="178" formatCode="0.00000"/>
    <numFmt numFmtId="179" formatCode="mm/dd/yyyy"/>
    <numFmt numFmtId="180" formatCode="0.0000"/>
    <numFmt numFmtId="181" formatCode="#,##0.000"/>
    <numFmt numFmtId="182" formatCode="0.0%"/>
  </numFmts>
  <fonts count="5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color indexed="10"/>
      <name val="Arial Cyr"/>
      <charset val="204"/>
    </font>
    <font>
      <sz val="7"/>
      <color indexed="16"/>
      <name val="Arial Cyr"/>
      <charset val="204"/>
    </font>
    <font>
      <sz val="10"/>
      <name val="Calibri"/>
      <family val="2"/>
      <charset val="204"/>
    </font>
    <font>
      <vertAlign val="superscript"/>
      <sz val="10"/>
      <name val="Arial Cyr"/>
      <charset val="204"/>
    </font>
    <font>
      <sz val="11"/>
      <name val="Arial Cyr"/>
      <charset val="204"/>
    </font>
    <font>
      <vertAlign val="superscript"/>
      <sz val="11"/>
      <name val="Arial Cyr"/>
      <charset val="204"/>
    </font>
    <font>
      <sz val="11"/>
      <color indexed="10"/>
      <name val="Arial Cyr"/>
      <charset val="204"/>
    </font>
    <font>
      <i/>
      <sz val="10"/>
      <name val="Arial Cyr"/>
      <charset val="204"/>
    </font>
    <font>
      <b/>
      <u/>
      <sz val="12"/>
      <name val="Arial Cyr"/>
      <charset val="204"/>
    </font>
    <font>
      <b/>
      <u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b/>
      <u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color indexed="15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name val="Times New Roman CYR"/>
      <charset val="1"/>
    </font>
    <font>
      <vertAlign val="superscript"/>
      <sz val="9"/>
      <name val="Arial Cyr"/>
      <charset val="204"/>
    </font>
    <font>
      <sz val="10"/>
      <name val="Arial Cyr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9"/>
        <bgColor indexed="27"/>
      </patternFill>
    </fill>
    <fill>
      <patternFill patternType="solid">
        <fgColor indexed="45"/>
        <bgColor indexed="47"/>
      </patternFill>
    </fill>
    <fill>
      <patternFill patternType="solid">
        <fgColor indexed="40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47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45" fillId="0" borderId="0" applyFill="0" applyBorder="0" applyProtection="0"/>
    <xf numFmtId="173" fontId="45" fillId="0" borderId="0" applyFill="0" applyBorder="0" applyProtection="0"/>
  </cellStyleXfs>
  <cellXfs count="8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Fill="1" applyBorder="1"/>
    <xf numFmtId="10" fontId="0" fillId="0" borderId="0" xfId="0" applyNumberFormat="1"/>
    <xf numFmtId="0" fontId="0" fillId="0" borderId="1" xfId="0" applyFont="1" applyBorder="1"/>
    <xf numFmtId="2" fontId="0" fillId="0" borderId="0" xfId="0" applyNumberFormat="1"/>
    <xf numFmtId="0" fontId="0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/>
    <xf numFmtId="2" fontId="0" fillId="0" borderId="0" xfId="0" applyNumberFormat="1" applyAlignment="1">
      <alignment wrapText="1"/>
    </xf>
    <xf numFmtId="0" fontId="0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1" xfId="0" applyNumberFormat="1" applyFont="1" applyBorder="1"/>
    <xf numFmtId="0" fontId="4" fillId="0" borderId="0" xfId="0" applyFont="1"/>
    <xf numFmtId="0" fontId="3" fillId="0" borderId="0" xfId="0" applyFont="1"/>
    <xf numFmtId="2" fontId="0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" fontId="0" fillId="0" borderId="1" xfId="0" applyNumberForma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/>
    <xf numFmtId="172" fontId="0" fillId="0" borderId="0" xfId="0" applyNumberFormat="1"/>
    <xf numFmtId="174" fontId="0" fillId="0" borderId="0" xfId="2" applyNumberFormat="1" applyFont="1" applyFill="1" applyBorder="1" applyAlignment="1" applyProtection="1"/>
    <xf numFmtId="0" fontId="0" fillId="0" borderId="0" xfId="0" applyFill="1" applyBorder="1"/>
    <xf numFmtId="10" fontId="0" fillId="0" borderId="1" xfId="0" applyNumberFormat="1" applyBorder="1"/>
    <xf numFmtId="10" fontId="0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4" xfId="0" applyFont="1" applyBorder="1"/>
    <xf numFmtId="0" fontId="7" fillId="0" borderId="11" xfId="0" applyFont="1" applyBorder="1"/>
    <xf numFmtId="0" fontId="7" fillId="0" borderId="12" xfId="0" applyFont="1" applyBorder="1"/>
    <xf numFmtId="0" fontId="9" fillId="0" borderId="1" xfId="0" applyFont="1" applyBorder="1"/>
    <xf numFmtId="0" fontId="2" fillId="0" borderId="10" xfId="0" applyFont="1" applyFill="1" applyBorder="1"/>
    <xf numFmtId="0" fontId="7" fillId="0" borderId="13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1" fontId="7" fillId="0" borderId="1" xfId="0" applyNumberFormat="1" applyFont="1" applyBorder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4" fillId="0" borderId="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75" fontId="1" fillId="0" borderId="29" xfId="0" applyNumberFormat="1" applyFont="1" applyBorder="1" applyAlignment="1">
      <alignment horizontal="center"/>
    </xf>
    <xf numFmtId="176" fontId="1" fillId="0" borderId="2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0" fillId="0" borderId="3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75" fontId="1" fillId="0" borderId="29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77" fontId="0" fillId="0" borderId="28" xfId="0" applyNumberFormat="1" applyFont="1" applyBorder="1" applyAlignment="1">
      <alignment horizontal="center"/>
    </xf>
    <xf numFmtId="175" fontId="0" fillId="0" borderId="29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77" fontId="2" fillId="3" borderId="8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72" fontId="0" fillId="0" borderId="1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72" fontId="0" fillId="0" borderId="25" xfId="0" applyNumberFormat="1" applyFont="1" applyBorder="1" applyAlignment="1">
      <alignment horizontal="center"/>
    </xf>
    <xf numFmtId="172" fontId="0" fillId="0" borderId="23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77" fontId="0" fillId="0" borderId="24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178" fontId="1" fillId="0" borderId="27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1" fillId="0" borderId="3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left"/>
    </xf>
    <xf numFmtId="0" fontId="1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1" fontId="1" fillId="3" borderId="36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177" fontId="1" fillId="3" borderId="5" xfId="0" applyNumberFormat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5" fontId="0" fillId="0" borderId="1" xfId="0" applyNumberFormat="1" applyFont="1" applyFill="1" applyBorder="1" applyAlignment="1">
      <alignment horizontal="center"/>
    </xf>
    <xf numFmtId="177" fontId="0" fillId="0" borderId="38" xfId="0" applyNumberFormat="1" applyFont="1" applyBorder="1" applyAlignment="1">
      <alignment horizontal="center"/>
    </xf>
    <xf numFmtId="0" fontId="0" fillId="0" borderId="0" xfId="0" applyFont="1" applyBorder="1"/>
    <xf numFmtId="0" fontId="0" fillId="4" borderId="1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75" fontId="0" fillId="0" borderId="13" xfId="0" applyNumberFormat="1" applyFont="1" applyFill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0" fillId="0" borderId="39" xfId="0" applyFont="1" applyFill="1" applyBorder="1" applyAlignment="1">
      <alignment horizontal="center"/>
    </xf>
    <xf numFmtId="175" fontId="0" fillId="0" borderId="39" xfId="0" applyNumberFormat="1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177" fontId="0" fillId="0" borderId="6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0" fontId="1" fillId="5" borderId="10" xfId="0" applyFont="1" applyFill="1" applyBorder="1" applyAlignment="1">
      <alignment horizontal="center" wrapText="1"/>
    </xf>
    <xf numFmtId="0" fontId="16" fillId="5" borderId="21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/>
    </xf>
    <xf numFmtId="175" fontId="1" fillId="5" borderId="11" xfId="0" applyNumberFormat="1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77" fontId="1" fillId="5" borderId="8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2" fontId="1" fillId="5" borderId="22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179" fontId="10" fillId="0" borderId="25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175" fontId="1" fillId="0" borderId="25" xfId="0" applyNumberFormat="1" applyFont="1" applyBorder="1" applyAlignment="1">
      <alignment horizontal="center"/>
    </xf>
    <xf numFmtId="180" fontId="1" fillId="0" borderId="23" xfId="0" applyNumberFormat="1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177" fontId="2" fillId="6" borderId="8" xfId="0" applyNumberFormat="1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179" fontId="10" fillId="0" borderId="29" xfId="0" applyNumberFormat="1" applyFont="1" applyBorder="1" applyAlignment="1">
      <alignment horizontal="center" wrapText="1"/>
    </xf>
    <xf numFmtId="180" fontId="1" fillId="0" borderId="27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78" fontId="0" fillId="0" borderId="27" xfId="0" applyNumberFormat="1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177" fontId="1" fillId="7" borderId="8" xfId="0" applyNumberFormat="1" applyFont="1" applyFill="1" applyBorder="1" applyAlignment="1">
      <alignment horizontal="center"/>
    </xf>
    <xf numFmtId="2" fontId="1" fillId="7" borderId="21" xfId="0" applyNumberFormat="1" applyFont="1" applyFill="1" applyBorder="1" applyAlignment="1">
      <alignment horizontal="center"/>
    </xf>
    <xf numFmtId="2" fontId="1" fillId="7" borderId="22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15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2" fontId="2" fillId="8" borderId="36" xfId="0" applyNumberFormat="1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177" fontId="2" fillId="8" borderId="5" xfId="0" applyNumberFormat="1" applyFont="1" applyFill="1" applyBorder="1" applyAlignment="1">
      <alignment horizontal="center"/>
    </xf>
    <xf numFmtId="2" fontId="2" fillId="8" borderId="35" xfId="0" applyNumberFormat="1" applyFont="1" applyFill="1" applyBorder="1" applyAlignment="1">
      <alignment horizontal="center"/>
    </xf>
    <xf numFmtId="2" fontId="2" fillId="8" borderId="37" xfId="0" applyNumberFormat="1" applyFont="1" applyFill="1" applyBorder="1" applyAlignment="1">
      <alignment horizontal="center"/>
    </xf>
    <xf numFmtId="0" fontId="17" fillId="0" borderId="44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80" fontId="0" fillId="9" borderId="1" xfId="0" applyNumberFormat="1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180" fontId="0" fillId="9" borderId="1" xfId="0" applyNumberFormat="1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 wrapText="1"/>
    </xf>
    <xf numFmtId="177" fontId="0" fillId="9" borderId="28" xfId="0" applyNumberFormat="1" applyFont="1" applyFill="1" applyBorder="1" applyAlignment="1">
      <alignment horizontal="center" wrapText="1"/>
    </xf>
    <xf numFmtId="2" fontId="0" fillId="9" borderId="29" xfId="0" applyNumberFormat="1" applyFont="1" applyFill="1" applyBorder="1" applyAlignment="1">
      <alignment horizontal="center" wrapText="1"/>
    </xf>
    <xf numFmtId="2" fontId="0" fillId="9" borderId="27" xfId="0" applyNumberFormat="1" applyFont="1" applyFill="1" applyBorder="1" applyAlignment="1">
      <alignment horizontal="center" wrapText="1"/>
    </xf>
    <xf numFmtId="0" fontId="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175" fontId="1" fillId="0" borderId="25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177" fontId="2" fillId="0" borderId="8" xfId="0" applyNumberFormat="1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6" fillId="0" borderId="48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177" fontId="2" fillId="0" borderId="17" xfId="0" applyNumberFormat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177" fontId="2" fillId="0" borderId="6" xfId="0" applyNumberFormat="1" applyFont="1" applyFill="1" applyBorder="1" applyAlignment="1">
      <alignment horizontal="center" wrapText="1"/>
    </xf>
    <xf numFmtId="0" fontId="10" fillId="0" borderId="44" xfId="0" applyFont="1" applyBorder="1" applyAlignment="1">
      <alignment horizontal="center" wrapText="1"/>
    </xf>
    <xf numFmtId="0" fontId="0" fillId="0" borderId="32" xfId="0" applyFont="1" applyBorder="1" applyAlignment="1">
      <alignment horizontal="center"/>
    </xf>
    <xf numFmtId="0" fontId="0" fillId="0" borderId="27" xfId="0" applyFont="1" applyBorder="1" applyAlignment="1">
      <alignment horizontal="center" wrapText="1"/>
    </xf>
    <xf numFmtId="1" fontId="0" fillId="0" borderId="29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6" fillId="0" borderId="30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0" fillId="0" borderId="39" xfId="0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1" fillId="10" borderId="31" xfId="0" applyFont="1" applyFill="1" applyBorder="1" applyAlignment="1">
      <alignment horizontal="center" wrapText="1"/>
    </xf>
    <xf numFmtId="0" fontId="10" fillId="10" borderId="32" xfId="0" applyFont="1" applyFill="1" applyBorder="1" applyAlignment="1">
      <alignment horizontal="center" wrapText="1"/>
    </xf>
    <xf numFmtId="0" fontId="1" fillId="10" borderId="14" xfId="0" applyFont="1" applyFill="1" applyBorder="1" applyAlignment="1">
      <alignment horizontal="center" wrapText="1"/>
    </xf>
    <xf numFmtId="172" fontId="1" fillId="10" borderId="14" xfId="0" applyNumberFormat="1" applyFont="1" applyFill="1" applyBorder="1" applyAlignment="1">
      <alignment horizontal="center" wrapText="1"/>
    </xf>
    <xf numFmtId="0" fontId="1" fillId="10" borderId="33" xfId="0" applyFont="1" applyFill="1" applyBorder="1" applyAlignment="1">
      <alignment horizontal="center" wrapText="1"/>
    </xf>
    <xf numFmtId="177" fontId="1" fillId="10" borderId="49" xfId="0" applyNumberFormat="1" applyFont="1" applyFill="1" applyBorder="1" applyAlignment="1">
      <alignment horizontal="center"/>
    </xf>
    <xf numFmtId="2" fontId="1" fillId="10" borderId="32" xfId="0" applyNumberFormat="1" applyFont="1" applyFill="1" applyBorder="1" applyAlignment="1">
      <alignment horizontal="center"/>
    </xf>
    <xf numFmtId="2" fontId="1" fillId="10" borderId="33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 wrapText="1"/>
    </xf>
    <xf numFmtId="0" fontId="10" fillId="4" borderId="35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172" fontId="1" fillId="4" borderId="36" xfId="0" applyNumberFormat="1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177" fontId="1" fillId="4" borderId="5" xfId="0" applyNumberFormat="1" applyFont="1" applyFill="1" applyBorder="1" applyAlignment="1">
      <alignment horizontal="center"/>
    </xf>
    <xf numFmtId="2" fontId="1" fillId="4" borderId="35" xfId="0" applyNumberFormat="1" applyFont="1" applyFill="1" applyBorder="1" applyAlignment="1">
      <alignment horizontal="center"/>
    </xf>
    <xf numFmtId="2" fontId="1" fillId="4" borderId="37" xfId="0" applyNumberFormat="1" applyFont="1" applyFill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31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1" fontId="0" fillId="0" borderId="32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1" fillId="0" borderId="27" xfId="0" applyNumberFormat="1" applyFont="1" applyBorder="1" applyAlignment="1">
      <alignment horizontal="center"/>
    </xf>
    <xf numFmtId="177" fontId="1" fillId="0" borderId="28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2" fillId="3" borderId="45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177" fontId="2" fillId="3" borderId="7" xfId="0" applyNumberFormat="1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177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20" fillId="0" borderId="55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22" fillId="0" borderId="44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0" fillId="0" borderId="56" xfId="0" applyFont="1" applyBorder="1" applyAlignment="1">
      <alignment horizontal="center" wrapText="1"/>
    </xf>
    <xf numFmtId="0" fontId="0" fillId="0" borderId="42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75" fontId="22" fillId="0" borderId="1" xfId="0" applyNumberFormat="1" applyFont="1" applyFill="1" applyBorder="1" applyAlignment="1">
      <alignment horizontal="center" wrapText="1"/>
    </xf>
    <xf numFmtId="175" fontId="0" fillId="0" borderId="1" xfId="0" applyNumberFormat="1" applyFill="1" applyBorder="1" applyAlignment="1">
      <alignment horizontal="center" wrapText="1"/>
    </xf>
    <xf numFmtId="0" fontId="0" fillId="0" borderId="57" xfId="0" applyFont="1" applyBorder="1" applyAlignment="1">
      <alignment wrapText="1"/>
    </xf>
    <xf numFmtId="0" fontId="0" fillId="0" borderId="49" xfId="0" applyBorder="1" applyAlignment="1">
      <alignment horizontal="center" wrapText="1"/>
    </xf>
    <xf numFmtId="0" fontId="22" fillId="0" borderId="58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2" fontId="22" fillId="0" borderId="14" xfId="0" applyNumberFormat="1" applyFont="1" applyBorder="1" applyAlignment="1">
      <alignment horizontal="center" wrapText="1"/>
    </xf>
    <xf numFmtId="175" fontId="0" fillId="0" borderId="59" xfId="0" applyNumberFormat="1" applyFont="1" applyBorder="1" applyAlignment="1">
      <alignment horizontal="center" wrapText="1"/>
    </xf>
    <xf numFmtId="175" fontId="0" fillId="0" borderId="1" xfId="0" applyNumberFormat="1" applyBorder="1" applyAlignment="1">
      <alignment horizontal="center" wrapText="1"/>
    </xf>
    <xf numFmtId="175" fontId="0" fillId="0" borderId="27" xfId="0" applyNumberFormat="1" applyBorder="1" applyAlignment="1">
      <alignment horizontal="center" wrapText="1"/>
    </xf>
    <xf numFmtId="0" fontId="1" fillId="8" borderId="60" xfId="0" applyFont="1" applyFill="1" applyBorder="1" applyAlignment="1">
      <alignment wrapText="1"/>
    </xf>
    <xf numFmtId="0" fontId="1" fillId="8" borderId="8" xfId="0" applyFont="1" applyFill="1" applyBorder="1" applyAlignment="1">
      <alignment horizontal="center" wrapText="1"/>
    </xf>
    <xf numFmtId="0" fontId="20" fillId="8" borderId="61" xfId="0" applyFont="1" applyFill="1" applyBorder="1" applyAlignment="1">
      <alignment horizontal="center" wrapText="1"/>
    </xf>
    <xf numFmtId="0" fontId="20" fillId="8" borderId="11" xfId="0" applyFont="1" applyFill="1" applyBorder="1" applyAlignment="1">
      <alignment horizontal="center" wrapText="1"/>
    </xf>
    <xf numFmtId="175" fontId="20" fillId="8" borderId="11" xfId="0" applyNumberFormat="1" applyFont="1" applyFill="1" applyBorder="1" applyAlignment="1">
      <alignment horizontal="center" wrapText="1"/>
    </xf>
    <xf numFmtId="175" fontId="1" fillId="8" borderId="62" xfId="0" applyNumberFormat="1" applyFont="1" applyFill="1" applyBorder="1" applyAlignment="1">
      <alignment horizontal="center" wrapText="1"/>
    </xf>
    <xf numFmtId="175" fontId="1" fillId="0" borderId="1" xfId="0" applyNumberFormat="1" applyFont="1" applyBorder="1" applyAlignment="1">
      <alignment horizontal="center" wrapText="1"/>
    </xf>
    <xf numFmtId="175" fontId="1" fillId="0" borderId="27" xfId="0" applyNumberFormat="1" applyFont="1" applyBorder="1" applyAlignment="1">
      <alignment horizontal="center" wrapText="1"/>
    </xf>
    <xf numFmtId="0" fontId="0" fillId="0" borderId="54" xfId="0" applyFont="1" applyBorder="1" applyAlignment="1">
      <alignment wrapText="1"/>
    </xf>
    <xf numFmtId="0" fontId="0" fillId="0" borderId="24" xfId="0" applyFont="1" applyBorder="1" applyAlignment="1">
      <alignment horizontal="center" wrapText="1"/>
    </xf>
    <xf numFmtId="0" fontId="22" fillId="0" borderId="55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181" fontId="22" fillId="0" borderId="13" xfId="0" applyNumberFormat="1" applyFont="1" applyBorder="1" applyAlignment="1">
      <alignment horizontal="center" wrapText="1"/>
    </xf>
    <xf numFmtId="4" fontId="0" fillId="0" borderId="38" xfId="0" applyNumberFormat="1" applyFont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3" fontId="0" fillId="0" borderId="27" xfId="0" applyNumberFormat="1" applyBorder="1" applyAlignment="1">
      <alignment horizontal="center" wrapText="1"/>
    </xf>
    <xf numFmtId="3" fontId="0" fillId="0" borderId="28" xfId="0" applyNumberFormat="1" applyBorder="1" applyAlignment="1">
      <alignment horizontal="center" wrapText="1"/>
    </xf>
    <xf numFmtId="9" fontId="22" fillId="0" borderId="44" xfId="0" applyNumberFormat="1" applyFont="1" applyBorder="1" applyAlignment="1">
      <alignment horizontal="center" wrapText="1"/>
    </xf>
    <xf numFmtId="4" fontId="0" fillId="0" borderId="56" xfId="0" applyNumberFormat="1" applyFont="1" applyBorder="1" applyAlignment="1">
      <alignment horizontal="center" wrapText="1"/>
    </xf>
    <xf numFmtId="9" fontId="0" fillId="0" borderId="29" xfId="0" applyNumberFormat="1" applyBorder="1" applyAlignment="1">
      <alignment horizontal="center" wrapText="1"/>
    </xf>
    <xf numFmtId="0" fontId="1" fillId="11" borderId="42" xfId="0" applyFont="1" applyFill="1" applyBorder="1" applyAlignment="1">
      <alignment wrapText="1"/>
    </xf>
    <xf numFmtId="0" fontId="1" fillId="11" borderId="28" xfId="0" applyFont="1" applyFill="1" applyBorder="1" applyAlignment="1">
      <alignment horizontal="center" wrapText="1"/>
    </xf>
    <xf numFmtId="0" fontId="20" fillId="11" borderId="44" xfId="0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 wrapText="1"/>
    </xf>
    <xf numFmtId="4" fontId="1" fillId="11" borderId="56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3" fontId="1" fillId="0" borderId="27" xfId="0" applyNumberFormat="1" applyFont="1" applyBorder="1" applyAlignment="1">
      <alignment horizontal="center" wrapText="1"/>
    </xf>
    <xf numFmtId="182" fontId="22" fillId="0" borderId="44" xfId="0" applyNumberFormat="1" applyFont="1" applyBorder="1" applyAlignment="1">
      <alignment horizontal="center" wrapText="1"/>
    </xf>
    <xf numFmtId="182" fontId="0" fillId="0" borderId="29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7" xfId="0" applyNumberFormat="1" applyFont="1" applyBorder="1" applyAlignment="1">
      <alignment horizontal="center" wrapText="1"/>
    </xf>
    <xf numFmtId="3" fontId="0" fillId="0" borderId="28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3" fillId="0" borderId="28" xfId="0" applyFont="1" applyFill="1" applyBorder="1" applyAlignment="1">
      <alignment horizontal="center" wrapText="1"/>
    </xf>
    <xf numFmtId="2" fontId="22" fillId="0" borderId="44" xfId="0" applyNumberFormat="1" applyFont="1" applyBorder="1" applyAlignment="1">
      <alignment horizontal="center" wrapText="1"/>
    </xf>
    <xf numFmtId="175" fontId="22" fillId="0" borderId="1" xfId="0" applyNumberFormat="1" applyFont="1" applyBorder="1" applyAlignment="1">
      <alignment horizontal="center" wrapText="1"/>
    </xf>
    <xf numFmtId="2" fontId="0" fillId="0" borderId="56" xfId="0" applyNumberFormat="1" applyFont="1" applyBorder="1" applyAlignment="1">
      <alignment horizontal="center" wrapText="1"/>
    </xf>
    <xf numFmtId="0" fontId="0" fillId="0" borderId="49" xfId="0" applyFont="1" applyBorder="1" applyAlignment="1">
      <alignment horizontal="center" wrapText="1"/>
    </xf>
    <xf numFmtId="2" fontId="0" fillId="0" borderId="59" xfId="0" applyNumberFormat="1" applyFont="1" applyBorder="1" applyAlignment="1">
      <alignment horizontal="center" wrapText="1"/>
    </xf>
    <xf numFmtId="0" fontId="1" fillId="11" borderId="60" xfId="0" applyFont="1" applyFill="1" applyBorder="1" applyAlignment="1">
      <alignment wrapText="1"/>
    </xf>
    <xf numFmtId="0" fontId="1" fillId="11" borderId="8" xfId="0" applyFont="1" applyFill="1" applyBorder="1" applyAlignment="1">
      <alignment horizontal="center" wrapText="1"/>
    </xf>
    <xf numFmtId="0" fontId="20" fillId="11" borderId="61" xfId="0" applyFont="1" applyFill="1" applyBorder="1" applyAlignment="1">
      <alignment horizontal="center" wrapText="1"/>
    </xf>
    <xf numFmtId="0" fontId="20" fillId="11" borderId="11" xfId="0" applyFont="1" applyFill="1" applyBorder="1" applyAlignment="1">
      <alignment horizontal="center" wrapText="1"/>
    </xf>
    <xf numFmtId="2" fontId="1" fillId="11" borderId="62" xfId="0" applyNumberFormat="1" applyFont="1" applyFill="1" applyBorder="1" applyAlignment="1">
      <alignment horizontal="center" wrapText="1"/>
    </xf>
    <xf numFmtId="0" fontId="1" fillId="10" borderId="29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4" fontId="1" fillId="10" borderId="1" xfId="0" applyNumberFormat="1" applyFont="1" applyFill="1" applyBorder="1" applyAlignment="1">
      <alignment horizontal="center" wrapText="1"/>
    </xf>
    <xf numFmtId="4" fontId="1" fillId="10" borderId="27" xfId="0" applyNumberFormat="1" applyFont="1" applyFill="1" applyBorder="1" applyAlignment="1">
      <alignment horizontal="center" wrapText="1"/>
    </xf>
    <xf numFmtId="3" fontId="0" fillId="10" borderId="28" xfId="0" applyNumberFormat="1" applyFill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42" xfId="0" applyFont="1" applyFill="1" applyBorder="1" applyAlignment="1">
      <alignment wrapText="1"/>
    </xf>
    <xf numFmtId="0" fontId="0" fillId="0" borderId="28" xfId="0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0" fillId="0" borderId="56" xfId="0" applyFont="1" applyFill="1" applyBorder="1" applyAlignment="1">
      <alignment horizontal="center" wrapText="1"/>
    </xf>
    <xf numFmtId="0" fontId="0" fillId="12" borderId="29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2" fontId="0" fillId="12" borderId="1" xfId="0" applyNumberFormat="1" applyFill="1" applyBorder="1" applyAlignment="1">
      <alignment horizontal="center" wrapText="1"/>
    </xf>
    <xf numFmtId="2" fontId="0" fillId="12" borderId="27" xfId="0" applyNumberFormat="1" applyFill="1" applyBorder="1" applyAlignment="1">
      <alignment horizontal="center" wrapText="1"/>
    </xf>
    <xf numFmtId="0" fontId="0" fillId="12" borderId="28" xfId="0" applyFill="1" applyBorder="1" applyAlignment="1">
      <alignment horizontal="center" wrapText="1"/>
    </xf>
    <xf numFmtId="0" fontId="0" fillId="13" borderId="29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2" fontId="0" fillId="13" borderId="1" xfId="0" applyNumberFormat="1" applyFill="1" applyBorder="1" applyAlignment="1">
      <alignment horizontal="center" wrapText="1"/>
    </xf>
    <xf numFmtId="2" fontId="0" fillId="13" borderId="27" xfId="0" applyNumberFormat="1" applyFill="1" applyBorder="1" applyAlignment="1">
      <alignment horizontal="center" wrapText="1"/>
    </xf>
    <xf numFmtId="0" fontId="0" fillId="13" borderId="28" xfId="0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27" xfId="0" applyNumberFormat="1" applyBorder="1" applyAlignment="1">
      <alignment horizontal="center" wrapText="1"/>
    </xf>
    <xf numFmtId="175" fontId="20" fillId="0" borderId="1" xfId="0" applyNumberFormat="1" applyFont="1" applyFill="1" applyBorder="1" applyAlignment="1">
      <alignment horizontal="center" wrapText="1"/>
    </xf>
    <xf numFmtId="0" fontId="1" fillId="0" borderId="42" xfId="0" applyFont="1" applyFill="1" applyBorder="1"/>
    <xf numFmtId="0" fontId="1" fillId="0" borderId="28" xfId="0" applyFont="1" applyFill="1" applyBorder="1" applyAlignment="1">
      <alignment horizontal="center"/>
    </xf>
    <xf numFmtId="175" fontId="20" fillId="0" borderId="1" xfId="0" applyNumberFormat="1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/>
    </xf>
    <xf numFmtId="2" fontId="1" fillId="13" borderId="1" xfId="0" applyNumberFormat="1" applyFont="1" applyFill="1" applyBorder="1" applyAlignment="1">
      <alignment horizontal="center"/>
    </xf>
    <xf numFmtId="2" fontId="1" fillId="13" borderId="27" xfId="0" applyNumberFormat="1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0" fillId="8" borderId="61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/>
    </xf>
    <xf numFmtId="175" fontId="20" fillId="8" borderId="11" xfId="0" applyNumberFormat="1" applyFont="1" applyFill="1" applyBorder="1" applyAlignment="1">
      <alignment horizontal="center"/>
    </xf>
    <xf numFmtId="0" fontId="1" fillId="8" borderId="62" xfId="0" applyFont="1" applyFill="1" applyBorder="1" applyAlignment="1">
      <alignment horizontal="center"/>
    </xf>
    <xf numFmtId="0" fontId="1" fillId="12" borderId="25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175" fontId="1" fillId="12" borderId="13" xfId="0" applyNumberFormat="1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4" fontId="0" fillId="0" borderId="38" xfId="0" applyNumberFormat="1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25" fillId="0" borderId="0" xfId="0" applyFont="1"/>
    <xf numFmtId="9" fontId="22" fillId="0" borderId="58" xfId="0" applyNumberFormat="1" applyFont="1" applyBorder="1" applyAlignment="1">
      <alignment horizontal="center" wrapText="1"/>
    </xf>
    <xf numFmtId="4" fontId="0" fillId="0" borderId="59" xfId="0" applyNumberFormat="1" applyFont="1" applyBorder="1" applyAlignment="1">
      <alignment horizontal="center"/>
    </xf>
    <xf numFmtId="9" fontId="0" fillId="0" borderId="32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/>
    </xf>
    <xf numFmtId="3" fontId="0" fillId="0" borderId="49" xfId="0" applyNumberFormat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1" fillId="10" borderId="11" xfId="0" applyFont="1" applyFill="1" applyBorder="1" applyAlignment="1">
      <alignment horizontal="center" wrapText="1"/>
    </xf>
    <xf numFmtId="4" fontId="1" fillId="10" borderId="11" xfId="0" applyNumberFormat="1" applyFont="1" applyFill="1" applyBorder="1" applyAlignment="1">
      <alignment horizontal="center" wrapText="1"/>
    </xf>
    <xf numFmtId="3" fontId="1" fillId="10" borderId="22" xfId="0" applyNumberFormat="1" applyFont="1" applyFill="1" applyBorder="1" applyAlignment="1">
      <alignment horizontal="center" wrapText="1"/>
    </xf>
    <xf numFmtId="3" fontId="0" fillId="10" borderId="8" xfId="0" applyNumberFormat="1" applyFill="1" applyBorder="1" applyAlignment="1">
      <alignment horizontal="center" wrapText="1"/>
    </xf>
    <xf numFmtId="182" fontId="22" fillId="0" borderId="44" xfId="0" applyNumberFormat="1" applyFont="1" applyFill="1" applyBorder="1" applyAlignment="1">
      <alignment horizontal="center" wrapText="1"/>
    </xf>
    <xf numFmtId="4" fontId="0" fillId="0" borderId="56" xfId="0" applyNumberFormat="1" applyFont="1" applyFill="1" applyBorder="1" applyAlignment="1">
      <alignment horizontal="center"/>
    </xf>
    <xf numFmtId="182" fontId="0" fillId="0" borderId="43" xfId="0" applyNumberFormat="1" applyFont="1" applyFill="1" applyBorder="1" applyAlignment="1">
      <alignment horizontal="center" wrapText="1"/>
    </xf>
    <xf numFmtId="0" fontId="0" fillId="0" borderId="46" xfId="0" applyFont="1" applyFill="1" applyBorder="1" applyAlignment="1">
      <alignment horizontal="center" wrapText="1"/>
    </xf>
    <xf numFmtId="4" fontId="0" fillId="0" borderId="46" xfId="0" applyNumberFormat="1" applyFont="1" applyFill="1" applyBorder="1" applyAlignment="1">
      <alignment horizontal="center" wrapText="1"/>
    </xf>
    <xf numFmtId="3" fontId="0" fillId="0" borderId="47" xfId="0" applyNumberFormat="1" applyFont="1" applyFill="1" applyBorder="1" applyAlignment="1">
      <alignment horizontal="center"/>
    </xf>
    <xf numFmtId="3" fontId="0" fillId="0" borderId="24" xfId="0" applyNumberFormat="1" applyFont="1" applyFill="1" applyBorder="1" applyAlignment="1">
      <alignment horizontal="center" wrapText="1"/>
    </xf>
    <xf numFmtId="0" fontId="0" fillId="0" borderId="0" xfId="0" applyFont="1" applyFill="1"/>
    <xf numFmtId="2" fontId="0" fillId="0" borderId="56" xfId="0" applyNumberFormat="1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 wrapText="1"/>
    </xf>
    <xf numFmtId="2" fontId="0" fillId="0" borderId="11" xfId="0" applyNumberFormat="1" applyFont="1" applyFill="1" applyBorder="1" applyAlignment="1">
      <alignment horizontal="center" wrapText="1"/>
    </xf>
    <xf numFmtId="2" fontId="0" fillId="0" borderId="22" xfId="0" applyNumberFormat="1" applyFont="1" applyFill="1" applyBorder="1" applyAlignment="1">
      <alignment horizontal="center" wrapText="1"/>
    </xf>
    <xf numFmtId="3" fontId="0" fillId="0" borderId="28" xfId="0" applyNumberFormat="1" applyFont="1" applyFill="1" applyBorder="1" applyAlignment="1">
      <alignment horizontal="center" wrapText="1"/>
    </xf>
    <xf numFmtId="175" fontId="0" fillId="0" borderId="11" xfId="0" applyNumberFormat="1" applyFont="1" applyFill="1" applyBorder="1" applyAlignment="1">
      <alignment horizontal="center" wrapText="1"/>
    </xf>
    <xf numFmtId="2" fontId="22" fillId="0" borderId="44" xfId="0" applyNumberFormat="1" applyFont="1" applyFill="1" applyBorder="1" applyAlignment="1">
      <alignment horizontal="center" wrapText="1"/>
    </xf>
    <xf numFmtId="172" fontId="0" fillId="0" borderId="21" xfId="0" applyNumberFormat="1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2" fontId="0" fillId="0" borderId="22" xfId="0" applyNumberFormat="1" applyFont="1" applyFill="1" applyBorder="1" applyAlignment="1">
      <alignment horizontal="center"/>
    </xf>
    <xf numFmtId="4" fontId="1" fillId="11" borderId="62" xfId="0" applyNumberFormat="1" applyFont="1" applyFill="1" applyBorder="1" applyAlignment="1">
      <alignment horizontal="center" wrapText="1"/>
    </xf>
    <xf numFmtId="4" fontId="1" fillId="10" borderId="22" xfId="0" applyNumberFormat="1" applyFont="1" applyFill="1" applyBorder="1" applyAlignment="1">
      <alignment horizontal="center" wrapText="1"/>
    </xf>
    <xf numFmtId="4" fontId="1" fillId="0" borderId="0" xfId="0" applyNumberFormat="1" applyFont="1"/>
    <xf numFmtId="0" fontId="22" fillId="0" borderId="39" xfId="0" applyFont="1" applyBorder="1" applyAlignment="1">
      <alignment horizontal="center" wrapText="1"/>
    </xf>
    <xf numFmtId="2" fontId="22" fillId="0" borderId="39" xfId="0" applyNumberFormat="1" applyFont="1" applyBorder="1" applyAlignment="1">
      <alignment horizontal="center"/>
    </xf>
    <xf numFmtId="0" fontId="1" fillId="8" borderId="42" xfId="0" applyFont="1" applyFill="1" applyBorder="1" applyAlignment="1">
      <alignment wrapText="1"/>
    </xf>
    <xf numFmtId="0" fontId="2" fillId="8" borderId="28" xfId="0" applyFont="1" applyFill="1" applyBorder="1" applyAlignment="1">
      <alignment horizontal="center" wrapText="1"/>
    </xf>
    <xf numFmtId="0" fontId="20" fillId="8" borderId="44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175" fontId="20" fillId="8" borderId="1" xfId="0" applyNumberFormat="1" applyFont="1" applyFill="1" applyBorder="1" applyAlignment="1">
      <alignment horizontal="center" wrapText="1"/>
    </xf>
    <xf numFmtId="0" fontId="1" fillId="8" borderId="56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5" fontId="2" fillId="0" borderId="1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7" fillId="0" borderId="0" xfId="0" applyFont="1"/>
    <xf numFmtId="182" fontId="0" fillId="0" borderId="29" xfId="0" applyNumberFormat="1" applyBorder="1" applyAlignment="1">
      <alignment horizontal="center" wrapText="1"/>
    </xf>
    <xf numFmtId="4" fontId="0" fillId="0" borderId="27" xfId="0" applyNumberFormat="1" applyBorder="1" applyAlignment="1">
      <alignment horizontal="center" wrapText="1"/>
    </xf>
    <xf numFmtId="0" fontId="22" fillId="0" borderId="14" xfId="0" applyFont="1" applyBorder="1" applyAlignment="1">
      <alignment horizontal="center"/>
    </xf>
    <xf numFmtId="175" fontId="22" fillId="0" borderId="1" xfId="0" applyNumberFormat="1" applyFont="1" applyBorder="1" applyAlignment="1">
      <alignment horizontal="center"/>
    </xf>
    <xf numFmtId="2" fontId="0" fillId="0" borderId="56" xfId="0" applyNumberFormat="1" applyFont="1" applyBorder="1" applyAlignment="1">
      <alignment horizontal="center"/>
    </xf>
    <xf numFmtId="2" fontId="22" fillId="0" borderId="58" xfId="0" applyNumberFormat="1" applyFont="1" applyBorder="1" applyAlignment="1">
      <alignment horizontal="center" wrapText="1"/>
    </xf>
    <xf numFmtId="0" fontId="0" fillId="0" borderId="57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wrapText="1"/>
    </xf>
    <xf numFmtId="0" fontId="22" fillId="0" borderId="58" xfId="0" applyFont="1" applyBorder="1" applyAlignment="1">
      <alignment horizontal="center"/>
    </xf>
    <xf numFmtId="4" fontId="1" fillId="11" borderId="62" xfId="0" applyNumberFormat="1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2" fontId="1" fillId="10" borderId="11" xfId="0" applyNumberFormat="1" applyFont="1" applyFill="1" applyBorder="1" applyAlignment="1">
      <alignment horizontal="center"/>
    </xf>
    <xf numFmtId="4" fontId="1" fillId="10" borderId="22" xfId="0" applyNumberFormat="1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 wrapText="1"/>
    </xf>
    <xf numFmtId="2" fontId="0" fillId="0" borderId="38" xfId="0" applyNumberFormat="1" applyFont="1" applyBorder="1" applyAlignment="1">
      <alignment horizontal="center" wrapText="1"/>
    </xf>
    <xf numFmtId="0" fontId="1" fillId="0" borderId="43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2" fontId="1" fillId="0" borderId="46" xfId="0" applyNumberFormat="1" applyFont="1" applyFill="1" applyBorder="1" applyAlignment="1">
      <alignment horizontal="center"/>
    </xf>
    <xf numFmtId="4" fontId="1" fillId="0" borderId="47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1" fillId="0" borderId="9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31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22" fillId="0" borderId="4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" fillId="0" borderId="42" xfId="0" applyFont="1" applyFill="1" applyBorder="1" applyAlignment="1">
      <alignment wrapText="1"/>
    </xf>
    <xf numFmtId="0" fontId="1" fillId="11" borderId="51" xfId="0" applyFont="1" applyFill="1" applyBorder="1" applyAlignment="1">
      <alignment wrapText="1"/>
    </xf>
    <xf numFmtId="0" fontId="20" fillId="11" borderId="52" xfId="0" applyFont="1" applyFill="1" applyBorder="1" applyAlignment="1">
      <alignment horizontal="center" wrapText="1"/>
    </xf>
    <xf numFmtId="0" fontId="20" fillId="11" borderId="46" xfId="0" applyFont="1" applyFill="1" applyBorder="1" applyAlignment="1">
      <alignment horizontal="center" wrapText="1"/>
    </xf>
    <xf numFmtId="4" fontId="1" fillId="11" borderId="53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/>
    </xf>
    <xf numFmtId="180" fontId="0" fillId="0" borderId="1" xfId="0" applyNumberForma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6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/>
    <xf numFmtId="0" fontId="0" fillId="0" borderId="15" xfId="0" applyFont="1" applyBorder="1"/>
    <xf numFmtId="0" fontId="0" fillId="0" borderId="63" xfId="0" applyFont="1" applyBorder="1"/>
    <xf numFmtId="0" fontId="0" fillId="0" borderId="2" xfId="0" applyFont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2" fontId="0" fillId="0" borderId="1" xfId="0" applyNumberFormat="1" applyBorder="1"/>
    <xf numFmtId="0" fontId="27" fillId="0" borderId="0" xfId="0" applyFont="1" applyAlignment="1">
      <alignment wrapText="1"/>
    </xf>
    <xf numFmtId="0" fontId="26" fillId="14" borderId="1" xfId="0" applyFont="1" applyFill="1" applyBorder="1" applyAlignment="1">
      <alignment wrapText="1"/>
    </xf>
    <xf numFmtId="0" fontId="26" fillId="14" borderId="1" xfId="0" applyFont="1" applyFill="1" applyBorder="1"/>
    <xf numFmtId="2" fontId="26" fillId="14" borderId="1" xfId="0" applyNumberFormat="1" applyFont="1" applyFill="1" applyBorder="1"/>
    <xf numFmtId="0" fontId="1" fillId="0" borderId="1" xfId="0" applyFont="1" applyBorder="1" applyAlignment="1">
      <alignment horizontal="right"/>
    </xf>
    <xf numFmtId="1" fontId="26" fillId="14" borderId="1" xfId="1" applyNumberFormat="1" applyFont="1" applyFill="1" applyBorder="1" applyAlignment="1" applyProtection="1"/>
    <xf numFmtId="172" fontId="0" fillId="0" borderId="1" xfId="0" applyNumberFormat="1" applyBorder="1"/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/>
    <xf numFmtId="2" fontId="26" fillId="2" borderId="1" xfId="0" applyNumberFormat="1" applyFont="1" applyFill="1" applyBorder="1"/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/>
    <xf numFmtId="2" fontId="28" fillId="2" borderId="1" xfId="0" applyNumberFormat="1" applyFont="1" applyFill="1" applyBorder="1"/>
    <xf numFmtId="2" fontId="0" fillId="0" borderId="0" xfId="0" applyNumberFormat="1" applyBorder="1"/>
    <xf numFmtId="0" fontId="0" fillId="0" borderId="14" xfId="0" applyFont="1" applyBorder="1" applyAlignment="1">
      <alignment wrapText="1"/>
    </xf>
    <xf numFmtId="0" fontId="0" fillId="0" borderId="14" xfId="0" applyFont="1" applyBorder="1"/>
    <xf numFmtId="2" fontId="0" fillId="0" borderId="14" xfId="0" applyNumberFormat="1" applyBorder="1"/>
    <xf numFmtId="0" fontId="2" fillId="0" borderId="60" xfId="0" applyFont="1" applyBorder="1" applyAlignment="1">
      <alignment wrapText="1"/>
    </xf>
    <xf numFmtId="0" fontId="2" fillId="0" borderId="61" xfId="0" applyFont="1" applyBorder="1"/>
    <xf numFmtId="0" fontId="2" fillId="0" borderId="61" xfId="0" applyFont="1" applyBorder="1" applyAlignment="1">
      <alignment wrapText="1"/>
    </xf>
    <xf numFmtId="0" fontId="2" fillId="0" borderId="62" xfId="0" applyFont="1" applyBorder="1"/>
    <xf numFmtId="0" fontId="26" fillId="0" borderId="0" xfId="0" applyFont="1" applyAlignment="1"/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49" fontId="0" fillId="0" borderId="64" xfId="0" applyNumberFormat="1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6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0" fillId="0" borderId="26" xfId="0" applyNumberFormat="1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horizontal="center" vertical="center" wrapText="1"/>
    </xf>
    <xf numFmtId="1" fontId="29" fillId="0" borderId="23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/>
    </xf>
    <xf numFmtId="4" fontId="30" fillId="0" borderId="25" xfId="0" applyNumberFormat="1" applyFont="1" applyFill="1" applyBorder="1" applyAlignment="1">
      <alignment horizontal="center" vertical="center"/>
    </xf>
    <xf numFmtId="4" fontId="31" fillId="0" borderId="13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vertical="center"/>
    </xf>
    <xf numFmtId="4" fontId="27" fillId="0" borderId="54" xfId="0" applyNumberFormat="1" applyFont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4" fontId="27" fillId="0" borderId="28" xfId="0" applyNumberFormat="1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29" fillId="11" borderId="11" xfId="0" applyFont="1" applyFill="1" applyBorder="1" applyAlignment="1">
      <alignment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9" fillId="11" borderId="22" xfId="0" applyFont="1" applyFill="1" applyBorder="1" applyAlignment="1">
      <alignment horizontal="center" vertical="center" wrapText="1"/>
    </xf>
    <xf numFmtId="4" fontId="34" fillId="11" borderId="8" xfId="0" applyNumberFormat="1" applyFont="1" applyFill="1" applyBorder="1" applyAlignment="1">
      <alignment horizontal="center" vertical="center" wrapText="1"/>
    </xf>
    <xf numFmtId="4" fontId="29" fillId="11" borderId="21" xfId="0" applyNumberFormat="1" applyFont="1" applyFill="1" applyBorder="1" applyAlignment="1">
      <alignment horizontal="center" vertical="center" wrapText="1"/>
    </xf>
    <xf numFmtId="4" fontId="29" fillId="11" borderId="11" xfId="0" applyNumberFormat="1" applyFont="1" applyFill="1" applyBorder="1" applyAlignment="1">
      <alignment horizontal="center" vertical="center" wrapText="1"/>
    </xf>
    <xf numFmtId="4" fontId="29" fillId="11" borderId="22" xfId="0" applyNumberFormat="1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34" fillId="11" borderId="8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4" fontId="29" fillId="0" borderId="24" xfId="0" applyNumberFormat="1" applyFont="1" applyBorder="1" applyAlignment="1">
      <alignment horizontal="center" vertical="center" wrapText="1"/>
    </xf>
    <xf numFmtId="4" fontId="30" fillId="0" borderId="25" xfId="0" applyNumberFormat="1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9" fillId="0" borderId="23" xfId="0" applyFont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4" fontId="27" fillId="0" borderId="28" xfId="0" applyNumberFormat="1" applyFont="1" applyBorder="1" applyAlignment="1">
      <alignment horizontal="center" vertical="center" wrapText="1"/>
    </xf>
    <xf numFmtId="4" fontId="35" fillId="0" borderId="29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0" borderId="27" xfId="0" applyFont="1" applyBorder="1" applyAlignment="1">
      <alignment vertical="center" wrapText="1"/>
    </xf>
    <xf numFmtId="2" fontId="27" fillId="0" borderId="28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29" fillId="11" borderId="11" xfId="0" applyNumberFormat="1" applyFont="1" applyFill="1" applyBorder="1" applyAlignment="1">
      <alignment horizontal="center" vertical="center" wrapText="1"/>
    </xf>
    <xf numFmtId="4" fontId="34" fillId="11" borderId="21" xfId="0" applyNumberFormat="1" applyFont="1" applyFill="1" applyBorder="1" applyAlignment="1">
      <alignment horizontal="center" vertical="center" wrapText="1"/>
    </xf>
    <xf numFmtId="4" fontId="34" fillId="11" borderId="11" xfId="0" applyNumberFormat="1" applyFont="1" applyFill="1" applyBorder="1" applyAlignment="1">
      <alignment horizontal="center" vertical="center" wrapText="1"/>
    </xf>
    <xf numFmtId="4" fontId="34" fillId="11" borderId="22" xfId="0" applyNumberFormat="1" applyFont="1" applyFill="1" applyBorder="1" applyAlignment="1">
      <alignment horizontal="center" vertical="center" wrapText="1"/>
    </xf>
    <xf numFmtId="2" fontId="34" fillId="11" borderId="8" xfId="0" applyNumberFormat="1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horizontal="center" vertical="center" wrapText="1"/>
    </xf>
    <xf numFmtId="2" fontId="27" fillId="4" borderId="13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 wrapText="1"/>
    </xf>
    <xf numFmtId="4" fontId="36" fillId="4" borderId="25" xfId="0" applyNumberFormat="1" applyFont="1" applyFill="1" applyBorder="1" applyAlignment="1">
      <alignment horizontal="center" vertical="center" wrapText="1"/>
    </xf>
    <xf numFmtId="4" fontId="36" fillId="4" borderId="13" xfId="0" applyNumberFormat="1" applyFont="1" applyFill="1" applyBorder="1" applyAlignment="1">
      <alignment horizontal="center" vertical="center" wrapText="1"/>
    </xf>
    <xf numFmtId="4" fontId="36" fillId="4" borderId="23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27" fillId="4" borderId="13" xfId="0" applyFont="1" applyFill="1" applyBorder="1" applyAlignment="1">
      <alignment vertical="center" wrapText="1"/>
    </xf>
    <xf numFmtId="2" fontId="27" fillId="0" borderId="24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2" fontId="33" fillId="0" borderId="27" xfId="0" applyNumberFormat="1" applyFont="1" applyFill="1" applyBorder="1" applyAlignment="1">
      <alignment horizontal="center" vertical="center" wrapText="1"/>
    </xf>
    <xf numFmtId="0" fontId="33" fillId="0" borderId="44" xfId="0" applyFont="1" applyFill="1" applyBorder="1" applyAlignment="1">
      <alignment horizontal="center" vertical="center" wrapText="1"/>
    </xf>
    <xf numFmtId="4" fontId="35" fillId="0" borderId="29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4" fontId="27" fillId="0" borderId="25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4" fontId="27" fillId="0" borderId="29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4" fontId="27" fillId="0" borderId="49" xfId="0" applyNumberFormat="1" applyFont="1" applyFill="1" applyBorder="1" applyAlignment="1">
      <alignment horizontal="center" vertical="center" wrapText="1"/>
    </xf>
    <xf numFmtId="4" fontId="27" fillId="0" borderId="32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2" fillId="11" borderId="11" xfId="0" applyFont="1" applyFill="1" applyBorder="1" applyAlignment="1">
      <alignment vertical="center" wrapText="1"/>
    </xf>
    <xf numFmtId="4" fontId="39" fillId="11" borderId="11" xfId="0" applyNumberFormat="1" applyFont="1" applyFill="1" applyBorder="1" applyAlignment="1">
      <alignment horizontal="center" vertical="center" wrapText="1"/>
    </xf>
    <xf numFmtId="0" fontId="29" fillId="11" borderId="22" xfId="0" applyFont="1" applyFill="1" applyBorder="1" applyAlignment="1">
      <alignment vertical="center" wrapText="1"/>
    </xf>
    <xf numFmtId="0" fontId="27" fillId="11" borderId="1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horizontal="center" vertical="center" wrapText="1"/>
    </xf>
    <xf numFmtId="4" fontId="36" fillId="4" borderId="24" xfId="0" applyNumberFormat="1" applyFont="1" applyFill="1" applyBorder="1" applyAlignment="1">
      <alignment horizontal="center" vertical="center" wrapText="1"/>
    </xf>
    <xf numFmtId="4" fontId="27" fillId="4" borderId="25" xfId="0" applyNumberFormat="1" applyFont="1" applyFill="1" applyBorder="1" applyAlignment="1">
      <alignment horizontal="center" vertical="center" wrapText="1"/>
    </xf>
    <xf numFmtId="4" fontId="38" fillId="4" borderId="13" xfId="0" applyNumberFormat="1" applyFont="1" applyFill="1" applyBorder="1" applyAlignment="1">
      <alignment horizontal="center" vertical="center" wrapText="1"/>
    </xf>
    <xf numFmtId="4" fontId="27" fillId="4" borderId="13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4" fontId="30" fillId="0" borderId="29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3" fillId="0" borderId="2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/>
    </xf>
    <xf numFmtId="4" fontId="30" fillId="0" borderId="29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9" fontId="1" fillId="0" borderId="0" xfId="0" applyNumberFormat="1" applyFont="1" applyFill="1"/>
    <xf numFmtId="0" fontId="27" fillId="0" borderId="39" xfId="0" applyFont="1" applyFill="1" applyBorder="1" applyAlignment="1">
      <alignment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4" fontId="30" fillId="0" borderId="32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/>
    </xf>
    <xf numFmtId="0" fontId="35" fillId="0" borderId="14" xfId="0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vertical="center" wrapText="1"/>
    </xf>
    <xf numFmtId="0" fontId="34" fillId="3" borderId="11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 vertical="center"/>
    </xf>
    <xf numFmtId="0" fontId="34" fillId="15" borderId="8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/>
    </xf>
    <xf numFmtId="4" fontId="34" fillId="3" borderId="8" xfId="0" applyNumberFormat="1" applyFont="1" applyFill="1" applyBorder="1" applyAlignment="1">
      <alignment horizontal="center" vertical="center"/>
    </xf>
    <xf numFmtId="4" fontId="34" fillId="3" borderId="21" xfId="0" applyNumberFormat="1" applyFont="1" applyFill="1" applyBorder="1" applyAlignment="1">
      <alignment horizontal="center" vertical="center"/>
    </xf>
    <xf numFmtId="4" fontId="34" fillId="3" borderId="11" xfId="0" applyNumberFormat="1" applyFont="1" applyFill="1" applyBorder="1" applyAlignment="1">
      <alignment horizontal="center" vertical="center"/>
    </xf>
    <xf numFmtId="4" fontId="34" fillId="3" borderId="22" xfId="0" applyNumberFormat="1" applyFont="1" applyFill="1" applyBorder="1" applyAlignment="1">
      <alignment horizontal="center" vertical="center"/>
    </xf>
    <xf numFmtId="0" fontId="34" fillId="15" borderId="12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22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49" fontId="22" fillId="0" borderId="14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39" xfId="0" applyFont="1" applyBorder="1" applyAlignment="1">
      <alignment horizontal="center" vertical="center" wrapText="1"/>
    </xf>
    <xf numFmtId="2" fontId="33" fillId="0" borderId="39" xfId="0" applyNumberFormat="1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4" fontId="35" fillId="0" borderId="41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4" fontId="20" fillId="0" borderId="47" xfId="0" applyNumberFormat="1" applyFont="1" applyBorder="1" applyAlignment="1">
      <alignment horizontal="center" vertical="center"/>
    </xf>
    <xf numFmtId="0" fontId="22" fillId="0" borderId="66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 wrapText="1"/>
    </xf>
    <xf numFmtId="49" fontId="22" fillId="0" borderId="66" xfId="0" applyNumberFormat="1" applyFont="1" applyBorder="1" applyAlignment="1">
      <alignment horizontal="center" vertical="center" wrapText="1"/>
    </xf>
    <xf numFmtId="49" fontId="22" fillId="0" borderId="66" xfId="0" applyNumberFormat="1" applyFont="1" applyFill="1" applyBorder="1" applyAlignment="1">
      <alignment horizontal="center" vertical="center" wrapText="1"/>
    </xf>
    <xf numFmtId="49" fontId="22" fillId="0" borderId="67" xfId="0" applyNumberFormat="1" applyFont="1" applyFill="1" applyBorder="1" applyAlignment="1">
      <alignment horizontal="center" vertical="center" wrapText="1"/>
    </xf>
    <xf numFmtId="49" fontId="22" fillId="0" borderId="68" xfId="0" applyNumberFormat="1" applyFont="1" applyFill="1" applyBorder="1" applyAlignment="1">
      <alignment horizontal="center" vertical="center" wrapText="1"/>
    </xf>
    <xf numFmtId="49" fontId="22" fillId="0" borderId="69" xfId="0" applyNumberFormat="1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/>
    </xf>
    <xf numFmtId="0" fontId="22" fillId="0" borderId="70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vertical="center" wrapText="1"/>
    </xf>
    <xf numFmtId="0" fontId="22" fillId="0" borderId="71" xfId="0" applyFont="1" applyBorder="1" applyAlignment="1">
      <alignment horizontal="center" vertical="center" wrapText="1"/>
    </xf>
    <xf numFmtId="4" fontId="22" fillId="0" borderId="71" xfId="0" applyNumberFormat="1" applyFont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vertical="center" wrapText="1"/>
    </xf>
    <xf numFmtId="4" fontId="20" fillId="0" borderId="27" xfId="0" applyNumberFormat="1" applyFont="1" applyBorder="1" applyAlignment="1">
      <alignment horizontal="center" vertical="center" wrapText="1"/>
    </xf>
    <xf numFmtId="2" fontId="22" fillId="0" borderId="27" xfId="0" applyNumberFormat="1" applyFont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22" fillId="0" borderId="72" xfId="0" applyNumberFormat="1" applyFont="1" applyFill="1" applyBorder="1" applyAlignment="1">
      <alignment horizontal="right" vertical="center"/>
    </xf>
    <xf numFmtId="0" fontId="0" fillId="0" borderId="73" xfId="0" applyBorder="1"/>
    <xf numFmtId="0" fontId="0" fillId="0" borderId="73" xfId="0" applyFont="1" applyBorder="1"/>
    <xf numFmtId="2" fontId="1" fillId="0" borderId="73" xfId="0" applyNumberFormat="1" applyFont="1" applyBorder="1" applyAlignment="1">
      <alignment vertical="center"/>
    </xf>
    <xf numFmtId="2" fontId="0" fillId="0" borderId="73" xfId="0" applyNumberFormat="1" applyFont="1" applyBorder="1" applyAlignment="1">
      <alignment vertical="center"/>
    </xf>
    <xf numFmtId="2" fontId="1" fillId="0" borderId="74" xfId="0" applyNumberFormat="1" applyFont="1" applyBorder="1" applyAlignment="1">
      <alignment vertical="center"/>
    </xf>
    <xf numFmtId="0" fontId="49" fillId="0" borderId="75" xfId="0" applyFont="1" applyBorder="1" applyAlignment="1">
      <alignment horizontal="center" vertical="center" wrapText="1"/>
    </xf>
    <xf numFmtId="2" fontId="22" fillId="0" borderId="73" xfId="0" applyNumberFormat="1" applyFont="1" applyBorder="1" applyAlignment="1">
      <alignment horizontal="right" vertical="center"/>
    </xf>
    <xf numFmtId="2" fontId="22" fillId="0" borderId="23" xfId="0" applyNumberFormat="1" applyFont="1" applyBorder="1" applyAlignment="1">
      <alignment horizontal="center" vertical="center"/>
    </xf>
    <xf numFmtId="0" fontId="0" fillId="0" borderId="76" xfId="0" applyBorder="1"/>
    <xf numFmtId="0" fontId="49" fillId="0" borderId="77" xfId="0" applyFont="1" applyBorder="1" applyAlignment="1">
      <alignment horizontal="center" vertical="center" wrapText="1"/>
    </xf>
    <xf numFmtId="0" fontId="0" fillId="0" borderId="78" xfId="0" applyBorder="1"/>
    <xf numFmtId="4" fontId="48" fillId="0" borderId="75" xfId="0" applyNumberFormat="1" applyFont="1" applyBorder="1" applyAlignment="1">
      <alignment horizontal="center" vertical="center" wrapText="1"/>
    </xf>
    <xf numFmtId="0" fontId="22" fillId="0" borderId="69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2" fontId="22" fillId="0" borderId="13" xfId="0" applyNumberFormat="1" applyFont="1" applyBorder="1" applyAlignment="1">
      <alignment horizontal="center" vertical="center"/>
    </xf>
    <xf numFmtId="0" fontId="43" fillId="0" borderId="79" xfId="0" applyFont="1" applyBorder="1" applyAlignment="1">
      <alignment horizontal="center" vertical="center" wrapText="1"/>
    </xf>
    <xf numFmtId="0" fontId="43" fillId="0" borderId="80" xfId="0" applyFont="1" applyBorder="1" applyAlignment="1">
      <alignment horizontal="center" vertical="center" wrapText="1"/>
    </xf>
    <xf numFmtId="0" fontId="43" fillId="0" borderId="78" xfId="0" applyFont="1" applyBorder="1" applyAlignment="1">
      <alignment horizontal="center" vertical="center" wrapText="1"/>
    </xf>
    <xf numFmtId="2" fontId="22" fillId="0" borderId="33" xfId="0" applyNumberFormat="1" applyFont="1" applyBorder="1" applyAlignment="1">
      <alignment horizontal="center" vertical="center" wrapText="1"/>
    </xf>
    <xf numFmtId="2" fontId="22" fillId="0" borderId="81" xfId="0" applyNumberFormat="1" applyFont="1" applyBorder="1" applyAlignment="1">
      <alignment horizontal="right" vertical="center"/>
    </xf>
    <xf numFmtId="2" fontId="0" fillId="0" borderId="81" xfId="0" applyNumberFormat="1" applyFont="1" applyBorder="1" applyAlignment="1">
      <alignment vertical="center"/>
    </xf>
    <xf numFmtId="2" fontId="20" fillId="16" borderId="77" xfId="0" applyNumberFormat="1" applyFont="1" applyFill="1" applyBorder="1" applyAlignment="1">
      <alignment horizontal="center" vertical="center" wrapText="1"/>
    </xf>
    <xf numFmtId="2" fontId="20" fillId="16" borderId="75" xfId="0" applyNumberFormat="1" applyFont="1" applyFill="1" applyBorder="1" applyAlignment="1">
      <alignment horizontal="right" vertical="center"/>
    </xf>
    <xf numFmtId="2" fontId="1" fillId="0" borderId="78" xfId="0" applyNumberFormat="1" applyFont="1" applyBorder="1"/>
    <xf numFmtId="2" fontId="1" fillId="16" borderId="75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/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83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0" fillId="0" borderId="64" xfId="0" applyFont="1" applyBorder="1" applyAlignment="1">
      <alignment horizontal="center" wrapText="1"/>
    </xf>
    <xf numFmtId="0" fontId="19" fillId="11" borderId="63" xfId="0" applyFont="1" applyFill="1" applyBorder="1" applyAlignment="1">
      <alignment horizontal="center" wrapText="1"/>
    </xf>
    <xf numFmtId="0" fontId="1" fillId="0" borderId="8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10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/>
    </xf>
    <xf numFmtId="0" fontId="0" fillId="0" borderId="8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27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49" fontId="20" fillId="0" borderId="86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0" fontId="20" fillId="0" borderId="45" xfId="0" applyNumberFormat="1" applyFont="1" applyBorder="1" applyAlignment="1">
      <alignment horizontal="left" vertical="center"/>
    </xf>
    <xf numFmtId="49" fontId="20" fillId="0" borderId="85" xfId="0" applyNumberFormat="1" applyFont="1" applyBorder="1" applyAlignment="1">
      <alignment horizontal="center" vertical="center" wrapText="1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D5B5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AC0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00\Obmen\Users\&#1055;&#1086;&#1083;&#1100;&#1079;&#1086;&#1074;&#1072;&#1090;&#1077;&#1083;&#1100;\AppData\Local\Temp\Temp1_&#1076;&#1086;&#1084;&#1072;.zip\&#1043;&#1072;&#1081;&#1076;&#1072;&#1088;&#1072;%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00\Obmen\&#1069;&#1082;&#1086;&#1085;&#1086;&#1084;&#1080;&#1089;&#1090;\&#1087;&#1086;%20&#1076;&#1072;&#1090;&#1072;&#1084;\&#1058;&#1072;&#1088;&#1080;&#1092;&#1099;%202013%20&#1087;&#1086;%20&#1092;&#1072;&#1082;&#1090;&#1091;\&#1055;&#1086;&#1095;&#1090;&#1086;&#1074;&#1072;&#1103;\&#1055;&#1086;&#1095;&#1090;&#1086;&#1074;&#1072;&#1103;%208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00\Obmen\Document\&#1058;&#1072;&#1088;&#1080;&#1092;&#1099;%20&#1085;&#1072;%202012\&#1044;&#1072;&#1085;&#1085;&#1099;&#1077;%20&#1076;&#1083;&#1103;%20&#1090;&#1072;&#1088;&#1080;&#1092;&#1086;&#1074;\&#1055;&#1091;&#1089;&#1090;&#1086;&#1075;&#1088;&#1072;&#1092;&#1099;%20&#1085;&#1072;%202011%20&#1075;&#1086;&#1076;%20&#1089;%20&#1092;&#1086;&#1088;&#1084;&#1091;&#1083;&#1072;&#1084;&#1080;,%20&#1057;%20&#1054;&#1041;&#1065;&#1045;&#1069;&#1050;&#1057;&#1055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D13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Потребность в пескосоляной смес"/>
      <sheetName val="сан содерж"/>
      <sheetName val="Конструктивные элементы"/>
      <sheetName val="СВИО и КЭ"/>
      <sheetName val="Транс. расх."/>
      <sheetName val="КГМ"/>
      <sheetName val="ВСЕ раб"/>
      <sheetName val="Перечень"/>
    </sheetNames>
    <sheetDataSet>
      <sheetData sheetId="0" refreshError="1"/>
      <sheetData sheetId="1" refreshError="1"/>
      <sheetData sheetId="2">
        <row r="4">
          <cell r="B4">
            <v>0.20200000000000001</v>
          </cell>
        </row>
        <row r="5">
          <cell r="B5">
            <v>1970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 дан"/>
      <sheetName val="сан содерж"/>
      <sheetName val="спец инв"/>
      <sheetName val="профраб"/>
      <sheetName val="ВСЕ раб"/>
      <sheetName val="Обязат"/>
    </sheetNames>
    <sheetDataSet>
      <sheetData sheetId="0" refreshError="1"/>
      <sheetData sheetId="1" refreshError="1"/>
      <sheetData sheetId="2">
        <row r="96">
          <cell r="A96" t="str">
            <v>Мыло хозяйственное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75" zoomScaleNormal="75" workbookViewId="0">
      <selection activeCell="B14" sqref="B14"/>
    </sheetView>
  </sheetViews>
  <sheetFormatPr defaultRowHeight="12.75"/>
  <cols>
    <col min="1" max="1" width="4.42578125" customWidth="1"/>
    <col min="2" max="2" width="28.5703125" customWidth="1"/>
    <col min="3" max="3" width="14.28515625" customWidth="1"/>
    <col min="4" max="4" width="17" customWidth="1"/>
    <col min="5" max="9" width="9.140625" customWidth="1"/>
    <col min="10" max="10" width="11" customWidth="1"/>
  </cols>
  <sheetData>
    <row r="1" spans="1:13">
      <c r="A1" s="1"/>
      <c r="B1" s="2" t="s">
        <v>0</v>
      </c>
      <c r="C1" s="2" t="s">
        <v>1</v>
      </c>
      <c r="D1" s="2" t="s">
        <v>2</v>
      </c>
      <c r="F1" s="3"/>
      <c r="J1" s="4"/>
    </row>
    <row r="2" spans="1:13">
      <c r="A2" s="1">
        <v>1</v>
      </c>
      <c r="B2" s="1" t="s">
        <v>3</v>
      </c>
      <c r="C2" s="1" t="s">
        <v>4</v>
      </c>
      <c r="D2" s="5">
        <v>20</v>
      </c>
      <c r="J2" s="6"/>
    </row>
    <row r="3" spans="1:13">
      <c r="A3" s="1">
        <v>2</v>
      </c>
      <c r="B3" s="1" t="s">
        <v>5</v>
      </c>
      <c r="C3" s="1" t="s">
        <v>4</v>
      </c>
      <c r="D3" s="5">
        <f>D2</f>
        <v>20</v>
      </c>
    </row>
    <row r="4" spans="1:13">
      <c r="A4" s="1">
        <v>3</v>
      </c>
      <c r="B4" s="1" t="s">
        <v>6</v>
      </c>
      <c r="C4" s="1" t="s">
        <v>7</v>
      </c>
      <c r="D4" s="5">
        <v>51</v>
      </c>
    </row>
    <row r="5" spans="1:13">
      <c r="A5" s="1">
        <v>4</v>
      </c>
      <c r="B5" s="7" t="s">
        <v>8</v>
      </c>
      <c r="C5" s="7" t="s">
        <v>9</v>
      </c>
      <c r="D5" s="7">
        <f>D6+D7+D8</f>
        <v>844</v>
      </c>
    </row>
    <row r="6" spans="1:13">
      <c r="A6" s="1">
        <v>5</v>
      </c>
      <c r="B6" s="1" t="s">
        <v>10</v>
      </c>
      <c r="C6" s="1" t="s">
        <v>9</v>
      </c>
      <c r="D6" s="5"/>
    </row>
    <row r="7" spans="1:13">
      <c r="A7" s="1">
        <v>6</v>
      </c>
      <c r="B7" s="1" t="s">
        <v>11</v>
      </c>
      <c r="C7" s="1" t="s">
        <v>9</v>
      </c>
      <c r="D7" s="5">
        <v>170</v>
      </c>
      <c r="K7" s="6"/>
    </row>
    <row r="8" spans="1:13" s="10" customFormat="1" ht="25.5">
      <c r="A8" s="8">
        <v>7</v>
      </c>
      <c r="B8" s="9" t="s">
        <v>12</v>
      </c>
      <c r="C8" s="9" t="s">
        <v>9</v>
      </c>
      <c r="D8" s="9">
        <f>D9+D10</f>
        <v>674</v>
      </c>
    </row>
    <row r="9" spans="1:13">
      <c r="A9" s="1">
        <v>8</v>
      </c>
      <c r="B9" s="1" t="s">
        <v>13</v>
      </c>
      <c r="C9" s="1" t="s">
        <v>9</v>
      </c>
      <c r="D9" s="5">
        <v>674</v>
      </c>
    </row>
    <row r="10" spans="1:13">
      <c r="A10" s="8">
        <v>9</v>
      </c>
      <c r="B10" s="1" t="s">
        <v>14</v>
      </c>
      <c r="C10" s="1" t="s">
        <v>9</v>
      </c>
      <c r="D10" s="11"/>
    </row>
    <row r="11" spans="1:13">
      <c r="A11" s="1">
        <v>10</v>
      </c>
      <c r="B11" s="1" t="s">
        <v>15</v>
      </c>
      <c r="C11" s="1" t="s">
        <v>9</v>
      </c>
      <c r="D11" s="5">
        <v>769</v>
      </c>
      <c r="F11" s="12"/>
      <c r="M11" s="6"/>
    </row>
    <row r="12" spans="1:13">
      <c r="A12" s="8">
        <v>11</v>
      </c>
      <c r="B12" s="1" t="s">
        <v>16</v>
      </c>
      <c r="C12" s="1" t="s">
        <v>9</v>
      </c>
      <c r="D12" s="5">
        <v>480</v>
      </c>
      <c r="F12" s="12"/>
      <c r="M12" s="6"/>
    </row>
    <row r="13" spans="1:13">
      <c r="A13" s="1">
        <v>12</v>
      </c>
      <c r="B13" s="1" t="s">
        <v>17</v>
      </c>
      <c r="C13" s="1" t="s">
        <v>9</v>
      </c>
      <c r="D13" s="5"/>
      <c r="F13" s="12"/>
      <c r="M13" s="6"/>
    </row>
    <row r="14" spans="1:13" ht="15">
      <c r="A14" s="8">
        <v>13</v>
      </c>
      <c r="B14" s="1" t="s">
        <v>18</v>
      </c>
      <c r="C14" s="1" t="s">
        <v>9</v>
      </c>
      <c r="D14" s="5">
        <f>[1]Лист1!$D$13</f>
        <v>0</v>
      </c>
      <c r="F14" s="13"/>
      <c r="M14" s="6"/>
    </row>
    <row r="15" spans="1:13" ht="15">
      <c r="A15" s="1">
        <v>14</v>
      </c>
      <c r="B15" s="1" t="s">
        <v>19</v>
      </c>
      <c r="C15" s="1" t="s">
        <v>9</v>
      </c>
      <c r="D15" s="14"/>
      <c r="F15" s="13"/>
      <c r="M15" s="6"/>
    </row>
    <row r="16" spans="1:13">
      <c r="A16" s="8">
        <v>15</v>
      </c>
      <c r="B16" s="1" t="s">
        <v>20</v>
      </c>
      <c r="C16" s="1" t="s">
        <v>21</v>
      </c>
      <c r="D16" s="5">
        <v>2532</v>
      </c>
    </row>
    <row r="17" spans="1:13">
      <c r="A17" s="1">
        <v>16</v>
      </c>
      <c r="B17" s="1" t="s">
        <v>22</v>
      </c>
      <c r="C17" s="1" t="s">
        <v>23</v>
      </c>
      <c r="D17" s="14">
        <v>24</v>
      </c>
    </row>
    <row r="18" spans="1:13" s="10" customFormat="1" ht="25.5">
      <c r="A18" s="8">
        <v>17</v>
      </c>
      <c r="B18" s="8" t="s">
        <v>24</v>
      </c>
      <c r="C18" s="8" t="s">
        <v>25</v>
      </c>
      <c r="D18" s="15"/>
      <c r="F18" s="16"/>
      <c r="M18" s="17"/>
    </row>
    <row r="19" spans="1:13" s="10" customFormat="1" ht="25.5">
      <c r="A19" s="1">
        <v>18</v>
      </c>
      <c r="B19" s="8" t="s">
        <v>26</v>
      </c>
      <c r="C19" s="8" t="s">
        <v>25</v>
      </c>
      <c r="D19" s="15"/>
    </row>
    <row r="20" spans="1:13" s="10" customFormat="1">
      <c r="A20" s="8">
        <v>19</v>
      </c>
      <c r="B20" s="8" t="s">
        <v>27</v>
      </c>
      <c r="C20" s="8" t="s">
        <v>25</v>
      </c>
      <c r="D20" s="18"/>
    </row>
    <row r="21" spans="1:13" s="10" customFormat="1" ht="40.5" customHeight="1">
      <c r="A21" s="1">
        <v>20</v>
      </c>
      <c r="B21" s="8" t="s">
        <v>28</v>
      </c>
      <c r="C21" s="8" t="s">
        <v>25</v>
      </c>
      <c r="D21" s="15">
        <v>24</v>
      </c>
    </row>
    <row r="22" spans="1:13" s="10" customFormat="1" ht="54.75" customHeight="1">
      <c r="A22" s="8">
        <v>21</v>
      </c>
      <c r="B22" s="8" t="s">
        <v>29</v>
      </c>
      <c r="C22" s="8" t="s">
        <v>4</v>
      </c>
      <c r="D22" s="19">
        <v>1</v>
      </c>
    </row>
    <row r="23" spans="1:13">
      <c r="A23" s="1">
        <v>22</v>
      </c>
      <c r="B23" s="8" t="s">
        <v>30</v>
      </c>
      <c r="C23" s="8" t="s">
        <v>4</v>
      </c>
      <c r="D23" s="5">
        <v>1</v>
      </c>
    </row>
    <row r="24" spans="1:13" ht="25.5">
      <c r="A24" s="8">
        <v>23</v>
      </c>
      <c r="B24" s="8" t="s">
        <v>31</v>
      </c>
      <c r="C24" s="8" t="s">
        <v>4</v>
      </c>
      <c r="D24" s="5">
        <v>1</v>
      </c>
    </row>
    <row r="25" spans="1:13">
      <c r="A25" s="1">
        <v>24</v>
      </c>
      <c r="B25" s="8" t="s">
        <v>32</v>
      </c>
      <c r="C25" s="8" t="s">
        <v>4</v>
      </c>
      <c r="D25" s="20">
        <v>2</v>
      </c>
    </row>
    <row r="26" spans="1:13">
      <c r="A26" s="8">
        <v>25</v>
      </c>
      <c r="B26" s="8" t="s">
        <v>33</v>
      </c>
      <c r="C26" s="8" t="s">
        <v>4</v>
      </c>
      <c r="D26" s="20">
        <v>1</v>
      </c>
    </row>
    <row r="27" spans="1:13" ht="63.75">
      <c r="A27" s="1">
        <v>26</v>
      </c>
      <c r="B27" s="8" t="s">
        <v>34</v>
      </c>
      <c r="C27" s="8" t="s">
        <v>35</v>
      </c>
      <c r="D27" s="20">
        <v>2</v>
      </c>
    </row>
    <row r="28" spans="1:13" ht="63.75">
      <c r="A28" s="8">
        <v>27</v>
      </c>
      <c r="B28" s="8" t="s">
        <v>36</v>
      </c>
      <c r="C28" s="8" t="s">
        <v>23</v>
      </c>
      <c r="D28" s="5">
        <v>20</v>
      </c>
    </row>
    <row r="29" spans="1:13">
      <c r="A29" s="1">
        <v>28</v>
      </c>
      <c r="B29" s="8" t="s">
        <v>37</v>
      </c>
      <c r="C29" s="8" t="s">
        <v>4</v>
      </c>
      <c r="D29" s="5">
        <v>20</v>
      </c>
    </row>
    <row r="30" spans="1:13">
      <c r="A30" s="8">
        <v>29</v>
      </c>
      <c r="B30" s="8" t="s">
        <v>38</v>
      </c>
      <c r="C30" s="8" t="s">
        <v>4</v>
      </c>
      <c r="D30" s="5">
        <v>20</v>
      </c>
    </row>
    <row r="31" spans="1:13" s="22" customFormat="1" ht="25.5">
      <c r="A31" s="1">
        <v>30</v>
      </c>
      <c r="B31" s="18" t="s">
        <v>39</v>
      </c>
      <c r="C31" s="18" t="s">
        <v>40</v>
      </c>
      <c r="D31" s="5"/>
      <c r="E31" s="21"/>
    </row>
    <row r="32" spans="1:13" s="22" customFormat="1" ht="38.25">
      <c r="A32" s="1"/>
      <c r="B32" s="8" t="s">
        <v>41</v>
      </c>
      <c r="C32" s="18"/>
      <c r="D32" s="5"/>
      <c r="E32" s="21"/>
    </row>
    <row r="33" spans="1:7" ht="51">
      <c r="A33" s="8">
        <v>31</v>
      </c>
      <c r="B33" s="8" t="s">
        <v>42</v>
      </c>
      <c r="C33" s="8" t="s">
        <v>40</v>
      </c>
      <c r="D33" s="5"/>
    </row>
    <row r="34" spans="1:7">
      <c r="A34" s="1">
        <v>32</v>
      </c>
      <c r="B34" s="8" t="s">
        <v>43</v>
      </c>
      <c r="C34" s="8" t="s">
        <v>4</v>
      </c>
      <c r="D34" s="20">
        <v>1</v>
      </c>
    </row>
    <row r="35" spans="1:7">
      <c r="A35" s="8">
        <v>33</v>
      </c>
      <c r="B35" s="8" t="s">
        <v>44</v>
      </c>
      <c r="C35" s="8" t="s">
        <v>4</v>
      </c>
      <c r="D35" s="20">
        <v>2</v>
      </c>
    </row>
    <row r="36" spans="1:7">
      <c r="A36" s="1">
        <v>34</v>
      </c>
      <c r="B36" s="8" t="s">
        <v>45</v>
      </c>
      <c r="C36" s="8" t="s">
        <v>9</v>
      </c>
      <c r="D36" s="14"/>
    </row>
    <row r="37" spans="1:7">
      <c r="A37" s="8">
        <v>35</v>
      </c>
      <c r="B37" s="8" t="s">
        <v>46</v>
      </c>
      <c r="C37" s="8" t="s">
        <v>9</v>
      </c>
      <c r="D37" s="23"/>
    </row>
    <row r="38" spans="1:7">
      <c r="A38" s="1">
        <v>36</v>
      </c>
      <c r="B38" s="8" t="s">
        <v>47</v>
      </c>
      <c r="C38" s="8" t="s">
        <v>9</v>
      </c>
      <c r="D38" s="5"/>
    </row>
    <row r="39" spans="1:7">
      <c r="A39" s="8">
        <v>37</v>
      </c>
      <c r="B39" s="8" t="s">
        <v>48</v>
      </c>
      <c r="C39" s="8" t="s">
        <v>9</v>
      </c>
      <c r="D39" s="24"/>
    </row>
    <row r="40" spans="1:7">
      <c r="A40" s="1">
        <v>38</v>
      </c>
      <c r="B40" s="8" t="s">
        <v>49</v>
      </c>
      <c r="C40" s="8" t="s">
        <v>9</v>
      </c>
      <c r="D40" s="5"/>
    </row>
    <row r="41" spans="1:7">
      <c r="A41" s="8">
        <v>39</v>
      </c>
      <c r="B41" s="8" t="s">
        <v>50</v>
      </c>
      <c r="C41" s="8" t="s">
        <v>9</v>
      </c>
      <c r="D41" s="5"/>
    </row>
    <row r="42" spans="1:7">
      <c r="A42" s="1">
        <v>40</v>
      </c>
      <c r="B42" s="8" t="s">
        <v>51</v>
      </c>
      <c r="C42" s="8" t="s">
        <v>9</v>
      </c>
      <c r="D42" s="20"/>
    </row>
    <row r="43" spans="1:7" s="10" customFormat="1" ht="15" customHeight="1">
      <c r="A43" s="8">
        <v>41</v>
      </c>
      <c r="B43" s="25" t="s">
        <v>52</v>
      </c>
      <c r="C43" s="26"/>
      <c r="D43" s="27"/>
      <c r="E43"/>
      <c r="F43"/>
      <c r="G43"/>
    </row>
    <row r="44" spans="1:7" s="10" customFormat="1" ht="24.75" customHeight="1">
      <c r="A44" s="1">
        <v>42</v>
      </c>
      <c r="B44" s="8" t="s">
        <v>53</v>
      </c>
      <c r="C44" s="26" t="s">
        <v>9</v>
      </c>
      <c r="D44" s="28"/>
      <c r="E44"/>
      <c r="F44"/>
      <c r="G44"/>
    </row>
    <row r="45" spans="1:7" s="10" customFormat="1" ht="15" customHeight="1">
      <c r="A45" s="8">
        <v>43</v>
      </c>
      <c r="B45" s="8" t="s">
        <v>54</v>
      </c>
      <c r="C45" s="26" t="s">
        <v>4</v>
      </c>
      <c r="D45" s="28"/>
      <c r="E45"/>
      <c r="F45"/>
      <c r="G45"/>
    </row>
    <row r="46" spans="1:7" s="10" customFormat="1" ht="15" customHeight="1">
      <c r="A46" s="1">
        <v>44</v>
      </c>
      <c r="B46" s="8" t="s">
        <v>52</v>
      </c>
      <c r="C46" s="26" t="s">
        <v>4</v>
      </c>
      <c r="D46" s="28"/>
      <c r="E46"/>
      <c r="F46"/>
      <c r="G46"/>
    </row>
    <row r="47" spans="1:7" s="10" customFormat="1" ht="15" customHeight="1">
      <c r="A47" s="8">
        <v>45</v>
      </c>
      <c r="B47" s="8" t="s">
        <v>55</v>
      </c>
      <c r="C47" s="26" t="s">
        <v>56</v>
      </c>
      <c r="D47" s="28"/>
      <c r="E47"/>
      <c r="F47"/>
      <c r="G47"/>
    </row>
    <row r="48" spans="1:7" s="10" customFormat="1" ht="15" customHeight="1">
      <c r="A48" s="1">
        <v>46</v>
      </c>
      <c r="B48" s="8" t="s">
        <v>57</v>
      </c>
      <c r="C48" s="26" t="s">
        <v>4</v>
      </c>
      <c r="D48" s="27"/>
      <c r="E48"/>
      <c r="F48"/>
      <c r="G48"/>
    </row>
    <row r="49" spans="1:7" s="10" customFormat="1" ht="15" customHeight="1">
      <c r="A49" s="8">
        <v>47</v>
      </c>
      <c r="B49" s="29" t="s">
        <v>58</v>
      </c>
      <c r="C49" s="30" t="s">
        <v>4</v>
      </c>
      <c r="D49" s="31"/>
      <c r="E49"/>
      <c r="F49"/>
      <c r="G49"/>
    </row>
    <row r="50" spans="1:7" ht="25.5">
      <c r="A50" s="1">
        <v>48</v>
      </c>
      <c r="B50" s="32" t="s">
        <v>59</v>
      </c>
      <c r="C50" s="32" t="s">
        <v>60</v>
      </c>
      <c r="D50" s="33">
        <v>6</v>
      </c>
    </row>
    <row r="51" spans="1:7" ht="25.5">
      <c r="A51" s="8">
        <v>49</v>
      </c>
      <c r="B51" s="32" t="s">
        <v>61</v>
      </c>
      <c r="C51" s="32" t="s">
        <v>60</v>
      </c>
      <c r="D51" s="1">
        <v>0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75" zoomScaleNormal="75" workbookViewId="0">
      <selection activeCell="B2" sqref="B2"/>
    </sheetView>
  </sheetViews>
  <sheetFormatPr defaultRowHeight="14.25"/>
  <cols>
    <col min="1" max="1" width="29" style="491" customWidth="1"/>
    <col min="2" max="2" width="17.42578125" style="491" customWidth="1"/>
    <col min="3" max="3" width="16.28515625" style="491" customWidth="1"/>
    <col min="4" max="4" width="15.28515625" style="491" customWidth="1"/>
    <col min="5" max="16384" width="9.140625" style="491"/>
  </cols>
  <sheetData>
    <row r="1" spans="1:4" ht="45">
      <c r="A1" s="55" t="s">
        <v>447</v>
      </c>
      <c r="B1" s="55" t="s">
        <v>448</v>
      </c>
      <c r="C1" s="567" t="s">
        <v>449</v>
      </c>
      <c r="D1" s="567" t="s">
        <v>450</v>
      </c>
    </row>
    <row r="2" spans="1:4" ht="57.75" customHeight="1">
      <c r="A2" s="55" t="s">
        <v>451</v>
      </c>
      <c r="B2" s="567">
        <f>ROUND(10260*1.12*1*1.5*1.202,2)</f>
        <v>20718.63</v>
      </c>
      <c r="C2" s="567">
        <f>B2/41604</f>
        <v>0.49799610614364004</v>
      </c>
      <c r="D2" s="567">
        <f>C2*'Исх. дан.'!D5*12</f>
        <v>5043.7045630227858</v>
      </c>
    </row>
    <row r="3" spans="1:4">
      <c r="A3" s="55" t="s">
        <v>452</v>
      </c>
      <c r="B3" s="567">
        <v>9450</v>
      </c>
      <c r="C3" s="567">
        <f>B3/41604</f>
        <v>0.22714162099798096</v>
      </c>
      <c r="D3" s="567">
        <f>C3*'Исх. дан.'!D5*12</f>
        <v>2300.4903374675514</v>
      </c>
    </row>
    <row r="4" spans="1:4" ht="28.5">
      <c r="A4" s="55" t="s">
        <v>453</v>
      </c>
      <c r="B4" s="568">
        <f>ROUND((60*4*247/12/100*4*21.4+60*3*247/12/100*8*20)*17/12,2)+(35*4*34+33*8*34)/12</f>
        <v>15533.236666666666</v>
      </c>
      <c r="C4" s="567">
        <f>B4/41604</f>
        <v>0.37335921225523183</v>
      </c>
      <c r="D4" s="567">
        <f>C4*'Исх. дан.'!D5*12</f>
        <v>3781.3821017209884</v>
      </c>
    </row>
    <row r="5" spans="1:4">
      <c r="A5" s="55" t="s">
        <v>454</v>
      </c>
      <c r="B5" s="568">
        <f>733.333333333333</f>
        <v>733.33333333333303</v>
      </c>
      <c r="C5" s="567">
        <f>B5/41604</f>
        <v>1.7626510271448251E-2</v>
      </c>
      <c r="D5" s="567">
        <f>C5*'Исх. дан.'!D5*12</f>
        <v>178.52129602922787</v>
      </c>
    </row>
    <row r="6" spans="1:4">
      <c r="A6" s="55" t="s">
        <v>455</v>
      </c>
      <c r="B6" s="568">
        <f>2786.66666666667</f>
        <v>2786.6666666666702</v>
      </c>
      <c r="C6" s="567">
        <f>B6/41604</f>
        <v>6.6980739031503464E-2</v>
      </c>
      <c r="D6" s="567">
        <f>C6*'Исх. дан.'!D5*12</f>
        <v>678.38092491106704</v>
      </c>
    </row>
    <row r="7" spans="1:4" ht="15">
      <c r="A7" s="569" t="s">
        <v>222</v>
      </c>
      <c r="B7" s="570"/>
      <c r="C7" s="571">
        <f>SUM(C2:C6)</f>
        <v>1.1831041886998046</v>
      </c>
      <c r="D7" s="571">
        <f>SUM(D2:D6)</f>
        <v>11982.47922315162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zoomScale="85" zoomScaleNormal="85" workbookViewId="0">
      <pane xSplit="2" ySplit="5" topLeftCell="C12" activePane="bottomRight" state="frozen"/>
      <selection pane="topRight" activeCell="C1" sqref="C1"/>
      <selection pane="bottomLeft" activeCell="A21" sqref="A21"/>
      <selection pane="bottomRight" activeCell="H33" sqref="H33"/>
    </sheetView>
  </sheetViews>
  <sheetFormatPr defaultColWidth="8.7109375" defaultRowHeight="12.75"/>
  <cols>
    <col min="1" max="1" width="3.85546875" style="572" customWidth="1"/>
    <col min="2" max="2" width="25.7109375" customWidth="1"/>
    <col min="3" max="3" width="16" style="307" customWidth="1"/>
    <col min="4" max="4" width="10.140625" style="307" customWidth="1"/>
    <col min="5" max="5" width="10.28515625" style="307" customWidth="1"/>
    <col min="6" max="6" width="9.28515625" style="307" customWidth="1"/>
    <col min="7" max="7" width="8" style="573" customWidth="1"/>
    <col min="8" max="8" width="14.5703125" style="573" customWidth="1"/>
    <col min="9" max="9" width="11.28515625" style="573" hidden="1" customWidth="1"/>
    <col min="10" max="10" width="11.5703125" style="574" hidden="1" customWidth="1"/>
    <col min="11" max="11" width="11.5703125" style="573" hidden="1" customWidth="1"/>
    <col min="12" max="12" width="11.5703125" style="574" hidden="1" customWidth="1"/>
    <col min="13" max="13" width="11.5703125" style="575" hidden="1" customWidth="1"/>
    <col min="14" max="14" width="9.7109375" style="573" customWidth="1"/>
    <col min="15" max="15" width="12" style="573" customWidth="1"/>
    <col min="16" max="16" width="13.28515625" customWidth="1"/>
    <col min="17" max="17" width="10.42578125" customWidth="1"/>
  </cols>
  <sheetData>
    <row r="1" spans="1:16" ht="17.25" customHeight="1">
      <c r="B1" s="849" t="s">
        <v>456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</row>
    <row r="2" spans="1:16" ht="15.75">
      <c r="B2" s="69"/>
      <c r="H2" s="576"/>
      <c r="O2" s="577"/>
    </row>
    <row r="3" spans="1:16" s="79" customFormat="1" ht="67.5" customHeight="1">
      <c r="A3" s="578"/>
      <c r="B3" s="579" t="s">
        <v>0</v>
      </c>
      <c r="C3" s="74" t="s">
        <v>457</v>
      </c>
      <c r="D3" s="74" t="s">
        <v>1</v>
      </c>
      <c r="E3" s="74" t="s">
        <v>458</v>
      </c>
      <c r="F3" s="74" t="s">
        <v>2</v>
      </c>
      <c r="G3" s="580" t="s">
        <v>459</v>
      </c>
      <c r="H3" s="581" t="s">
        <v>460</v>
      </c>
      <c r="I3" s="850" t="s">
        <v>461</v>
      </c>
      <c r="J3" s="850"/>
      <c r="K3" s="850"/>
      <c r="L3" s="850"/>
      <c r="M3" s="580"/>
      <c r="N3" s="582" t="s">
        <v>462</v>
      </c>
      <c r="O3" s="851" t="s">
        <v>463</v>
      </c>
    </row>
    <row r="4" spans="1:16" s="79" customFormat="1" ht="25.5">
      <c r="A4" s="583"/>
      <c r="B4" s="584"/>
      <c r="C4" s="448"/>
      <c r="D4" s="448"/>
      <c r="E4" s="585" t="s">
        <v>464</v>
      </c>
      <c r="F4" s="585" t="s">
        <v>465</v>
      </c>
      <c r="G4" s="586" t="s">
        <v>464</v>
      </c>
      <c r="H4" s="587" t="s">
        <v>466</v>
      </c>
      <c r="I4" s="588"/>
      <c r="J4" s="589"/>
      <c r="K4" s="589"/>
      <c r="L4" s="589"/>
      <c r="M4" s="590"/>
      <c r="N4" s="591" t="s">
        <v>467</v>
      </c>
      <c r="O4" s="851"/>
    </row>
    <row r="5" spans="1:16" s="600" customFormat="1">
      <c r="A5" s="592" t="s">
        <v>468</v>
      </c>
      <c r="B5" s="593" t="s">
        <v>469</v>
      </c>
      <c r="C5" s="593" t="s">
        <v>470</v>
      </c>
      <c r="D5" s="592" t="s">
        <v>471</v>
      </c>
      <c r="E5" s="593" t="s">
        <v>472</v>
      </c>
      <c r="F5" s="593" t="s">
        <v>473</v>
      </c>
      <c r="G5" s="594" t="s">
        <v>474</v>
      </c>
      <c r="H5" s="595" t="s">
        <v>475</v>
      </c>
      <c r="I5" s="596" t="s">
        <v>476</v>
      </c>
      <c r="J5" s="597" t="s">
        <v>477</v>
      </c>
      <c r="K5" s="598" t="s">
        <v>478</v>
      </c>
      <c r="L5" s="598" t="s">
        <v>479</v>
      </c>
      <c r="M5" s="597" t="s">
        <v>480</v>
      </c>
      <c r="N5" s="599" t="s">
        <v>476</v>
      </c>
      <c r="O5" s="595" t="s">
        <v>477</v>
      </c>
    </row>
    <row r="6" spans="1:16" s="515" customFormat="1">
      <c r="A6" s="601" t="s">
        <v>468</v>
      </c>
      <c r="B6" s="602" t="s">
        <v>481</v>
      </c>
      <c r="C6" s="603"/>
      <c r="D6" s="603"/>
      <c r="E6" s="604"/>
      <c r="F6" s="603"/>
      <c r="G6" s="605"/>
      <c r="H6" s="606"/>
      <c r="I6" s="607"/>
      <c r="J6" s="608"/>
      <c r="K6" s="609"/>
      <c r="L6" s="610"/>
      <c r="M6" s="611"/>
      <c r="N6" s="612"/>
      <c r="O6" s="613"/>
    </row>
    <row r="7" spans="1:16" s="464" customFormat="1" ht="15" customHeight="1">
      <c r="A7" s="614" t="s">
        <v>469</v>
      </c>
      <c r="B7" s="615" t="s">
        <v>482</v>
      </c>
      <c r="C7" s="616"/>
      <c r="D7" s="617"/>
      <c r="E7" s="618" t="s">
        <v>284</v>
      </c>
      <c r="F7" s="618" t="s">
        <v>284</v>
      </c>
      <c r="G7" s="619" t="s">
        <v>284</v>
      </c>
      <c r="H7" s="620">
        <f>материал!G60</f>
        <v>634.24992000000009</v>
      </c>
      <c r="I7" s="621" t="s">
        <v>284</v>
      </c>
      <c r="J7" s="617" t="s">
        <v>284</v>
      </c>
      <c r="K7" s="617" t="s">
        <v>284</v>
      </c>
      <c r="L7" s="617" t="s">
        <v>284</v>
      </c>
      <c r="M7" s="617" t="s">
        <v>284</v>
      </c>
      <c r="N7" s="616">
        <f>'Исх. дан.'!$D$8</f>
        <v>674</v>
      </c>
      <c r="O7" s="622">
        <f>ROUND(H7/N7/12,2)</f>
        <v>0.08</v>
      </c>
      <c r="P7" s="623"/>
    </row>
    <row r="8" spans="1:16" s="10" customFormat="1" ht="25.5">
      <c r="A8" s="624" t="s">
        <v>470</v>
      </c>
      <c r="B8" s="625" t="s">
        <v>483</v>
      </c>
      <c r="C8" s="626"/>
      <c r="D8" s="626"/>
      <c r="E8" s="626"/>
      <c r="F8" s="626"/>
      <c r="G8" s="627"/>
      <c r="H8" s="628">
        <f>SUM(H7:H7)</f>
        <v>634.24992000000009</v>
      </c>
      <c r="I8" s="629"/>
      <c r="J8" s="630"/>
      <c r="K8" s="630"/>
      <c r="L8" s="630"/>
      <c r="M8" s="631"/>
      <c r="N8" s="632">
        <f>'Исх. дан.'!$D$8</f>
        <v>674</v>
      </c>
      <c r="O8" s="633">
        <f>ROUND(H8/N8/12,2)</f>
        <v>0.08</v>
      </c>
    </row>
    <row r="9" spans="1:16" s="149" customFormat="1">
      <c r="A9" s="601" t="s">
        <v>471</v>
      </c>
      <c r="B9" s="634" t="s">
        <v>484</v>
      </c>
      <c r="C9" s="635"/>
      <c r="D9" s="635"/>
      <c r="E9" s="636"/>
      <c r="F9" s="637"/>
      <c r="G9" s="638"/>
      <c r="H9" s="639"/>
      <c r="I9" s="640"/>
      <c r="J9" s="641"/>
      <c r="K9" s="641"/>
      <c r="L9" s="641"/>
      <c r="M9" s="642"/>
      <c r="N9" s="643"/>
      <c r="O9" s="644"/>
    </row>
    <row r="10" spans="1:16" s="386" customFormat="1" ht="25.5">
      <c r="A10" s="645" t="s">
        <v>472</v>
      </c>
      <c r="B10" s="646" t="s">
        <v>485</v>
      </c>
      <c r="C10" s="647" t="s">
        <v>486</v>
      </c>
      <c r="D10" s="647" t="s">
        <v>60</v>
      </c>
      <c r="E10" s="648">
        <v>300</v>
      </c>
      <c r="F10" s="618">
        <v>1</v>
      </c>
      <c r="G10" s="649">
        <v>3</v>
      </c>
      <c r="H10" s="650">
        <f>ROUND(E10*F10*G10,2)</f>
        <v>900</v>
      </c>
      <c r="I10" s="651"/>
      <c r="J10" s="652"/>
      <c r="K10" s="652"/>
      <c r="L10" s="652"/>
      <c r="M10" s="653"/>
      <c r="N10" s="617">
        <f>'Исх. дан.'!$D$8</f>
        <v>674</v>
      </c>
      <c r="O10" s="654">
        <f>ROUND(H10/N10/12,3)</f>
        <v>0.111</v>
      </c>
    </row>
    <row r="11" spans="1:16" s="386" customFormat="1" ht="25.5">
      <c r="A11" s="645" t="s">
        <v>473</v>
      </c>
      <c r="B11" s="646" t="s">
        <v>487</v>
      </c>
      <c r="C11" s="647" t="s">
        <v>486</v>
      </c>
      <c r="D11" s="647" t="s">
        <v>60</v>
      </c>
      <c r="E11" s="655">
        <v>200</v>
      </c>
      <c r="F11" s="618">
        <v>1</v>
      </c>
      <c r="G11" s="649">
        <v>3</v>
      </c>
      <c r="H11" s="650">
        <f>ROUND(E11*F11*G11,2)</f>
        <v>600</v>
      </c>
      <c r="I11" s="651"/>
      <c r="J11" s="652"/>
      <c r="K11" s="652"/>
      <c r="L11" s="652"/>
      <c r="M11" s="653"/>
      <c r="N11" s="616">
        <f>'Исх. дан.'!$D$8</f>
        <v>674</v>
      </c>
      <c r="O11" s="654">
        <f>ROUND(H11/N11/12,3)</f>
        <v>7.3999999999999996E-2</v>
      </c>
    </row>
    <row r="12" spans="1:16" s="386" customFormat="1" ht="22.5" customHeight="1">
      <c r="A12" s="645"/>
      <c r="B12" s="763" t="s">
        <v>619</v>
      </c>
      <c r="C12" s="647" t="s">
        <v>486</v>
      </c>
      <c r="D12" s="764" t="s">
        <v>60</v>
      </c>
      <c r="E12" s="765">
        <v>800</v>
      </c>
      <c r="F12" s="618">
        <v>1</v>
      </c>
      <c r="G12" s="766">
        <v>3</v>
      </c>
      <c r="H12" s="650">
        <f>ROUND(E12*F12*G12,2)</f>
        <v>2400</v>
      </c>
      <c r="I12" s="767"/>
      <c r="J12" s="768"/>
      <c r="K12" s="768"/>
      <c r="L12" s="768"/>
      <c r="M12" s="769"/>
      <c r="N12" s="616">
        <f>'Исх. дан.'!$D$8</f>
        <v>674</v>
      </c>
      <c r="O12" s="654">
        <f>ROUND(H12/N12/12,3)</f>
        <v>0.29699999999999999</v>
      </c>
    </row>
    <row r="13" spans="1:16" s="515" customFormat="1" ht="25.5">
      <c r="A13" s="645" t="s">
        <v>474</v>
      </c>
      <c r="B13" s="625" t="s">
        <v>488</v>
      </c>
      <c r="C13" s="626"/>
      <c r="D13" s="626"/>
      <c r="E13" s="656"/>
      <c r="F13" s="626"/>
      <c r="G13" s="627"/>
      <c r="H13" s="628">
        <f>SUM(H10:H12)</f>
        <v>3900</v>
      </c>
      <c r="I13" s="657"/>
      <c r="J13" s="658"/>
      <c r="K13" s="658"/>
      <c r="L13" s="658"/>
      <c r="M13" s="659"/>
      <c r="N13" s="632">
        <f>'Исх. дан.'!$D$8</f>
        <v>674</v>
      </c>
      <c r="O13" s="660">
        <f>ROUND(H13/N13/12,3)</f>
        <v>0.48199999999999998</v>
      </c>
    </row>
    <row r="14" spans="1:16" s="672" customFormat="1" ht="15">
      <c r="A14" s="645" t="s">
        <v>475</v>
      </c>
      <c r="B14" s="661" t="s">
        <v>489</v>
      </c>
      <c r="C14" s="662"/>
      <c r="D14" s="662"/>
      <c r="E14" s="663"/>
      <c r="F14" s="664"/>
      <c r="G14" s="665"/>
      <c r="H14" s="666"/>
      <c r="I14" s="667"/>
      <c r="J14" s="668"/>
      <c r="K14" s="668"/>
      <c r="L14" s="668"/>
      <c r="M14" s="669"/>
      <c r="N14" s="670"/>
      <c r="O14" s="671"/>
    </row>
    <row r="15" spans="1:16" s="672" customFormat="1" ht="15">
      <c r="A15" s="645" t="s">
        <v>476</v>
      </c>
      <c r="B15" s="673" t="s">
        <v>490</v>
      </c>
      <c r="C15" s="662" t="s">
        <v>491</v>
      </c>
      <c r="D15" s="662" t="s">
        <v>492</v>
      </c>
      <c r="E15" s="663">
        <f>'Постоянные конст'!B10</f>
        <v>0.36849488000000002</v>
      </c>
      <c r="F15" s="664">
        <f>'Исх. дан.'!D14</f>
        <v>0</v>
      </c>
      <c r="G15" s="665">
        <v>1</v>
      </c>
      <c r="H15" s="666">
        <f>ROUND(E15*F15*G15,2)</f>
        <v>0</v>
      </c>
      <c r="I15" s="667"/>
      <c r="J15" s="668"/>
      <c r="K15" s="668"/>
      <c r="L15" s="668"/>
      <c r="M15" s="669"/>
      <c r="N15" s="670">
        <f>'Исх. дан.'!$D$8</f>
        <v>674</v>
      </c>
      <c r="O15" s="674">
        <f>ROUND(H15/N15/12,3)</f>
        <v>0</v>
      </c>
    </row>
    <row r="16" spans="1:16" s="672" customFormat="1" ht="15">
      <c r="A16" s="645" t="s">
        <v>477</v>
      </c>
      <c r="B16" s="673" t="s">
        <v>120</v>
      </c>
      <c r="C16" s="662" t="s">
        <v>491</v>
      </c>
      <c r="D16" s="662" t="s">
        <v>492</v>
      </c>
      <c r="E16" s="663">
        <f>'Постоянные конст'!B11</f>
        <v>4.7650200000000011E-2</v>
      </c>
      <c r="F16" s="664">
        <f>'Исх. дан.'!D14</f>
        <v>0</v>
      </c>
      <c r="G16" s="665">
        <v>1</v>
      </c>
      <c r="H16" s="666">
        <f>E16*F16*G16</f>
        <v>0</v>
      </c>
      <c r="I16" s="667"/>
      <c r="J16" s="668"/>
      <c r="K16" s="668"/>
      <c r="L16" s="668"/>
      <c r="M16" s="669"/>
      <c r="N16" s="670">
        <f>'Исх. дан.'!$D$8</f>
        <v>674</v>
      </c>
      <c r="O16" s="675">
        <f>ROUND(H16/N16/12,3)</f>
        <v>0</v>
      </c>
    </row>
    <row r="17" spans="1:16" s="515" customFormat="1" ht="25.5">
      <c r="A17" s="645" t="s">
        <v>478</v>
      </c>
      <c r="B17" s="625" t="s">
        <v>493</v>
      </c>
      <c r="C17" s="626"/>
      <c r="D17" s="626"/>
      <c r="E17" s="656"/>
      <c r="F17" s="626"/>
      <c r="G17" s="627"/>
      <c r="H17" s="628">
        <f>SUM(H15:H16)</f>
        <v>0</v>
      </c>
      <c r="I17" s="657"/>
      <c r="J17" s="658"/>
      <c r="K17" s="658"/>
      <c r="L17" s="658"/>
      <c r="M17" s="659"/>
      <c r="N17" s="632">
        <f>'Исх. дан.'!$D$8</f>
        <v>674</v>
      </c>
      <c r="O17" s="660">
        <f>ROUND(H17/N17/12,3)</f>
        <v>0</v>
      </c>
    </row>
    <row r="18" spans="1:16" s="464" customFormat="1">
      <c r="A18" s="645" t="s">
        <v>479</v>
      </c>
      <c r="B18" s="676" t="s">
        <v>494</v>
      </c>
      <c r="C18" s="617" t="s">
        <v>495</v>
      </c>
      <c r="D18" s="617" t="s">
        <v>492</v>
      </c>
      <c r="E18" s="677">
        <v>0.30000000000000004</v>
      </c>
      <c r="F18" s="618">
        <f>'Исх. дан.'!$D$8</f>
        <v>674</v>
      </c>
      <c r="G18" s="678">
        <v>12</v>
      </c>
      <c r="H18" s="620">
        <f>ROUND(E18*F18*G18,2)</f>
        <v>2426.4</v>
      </c>
      <c r="I18" s="679"/>
      <c r="J18" s="680"/>
      <c r="K18" s="681"/>
      <c r="L18" s="680"/>
      <c r="M18" s="682"/>
      <c r="N18" s="683">
        <f>'Исх. дан.'!$D$8</f>
        <v>674</v>
      </c>
      <c r="O18" s="684">
        <f>ROUND(H18/N18/12,3)</f>
        <v>0.3</v>
      </c>
    </row>
    <row r="19" spans="1:16" s="464" customFormat="1" ht="25.5">
      <c r="A19" s="645" t="s">
        <v>480</v>
      </c>
      <c r="B19" s="676" t="s">
        <v>496</v>
      </c>
      <c r="C19" s="617" t="s">
        <v>495</v>
      </c>
      <c r="D19" s="617" t="s">
        <v>492</v>
      </c>
      <c r="E19" s="685">
        <f>0.059*1.066</f>
        <v>6.2894000000000005E-2</v>
      </c>
      <c r="F19" s="618">
        <f>'Исх. дан.'!$D$8</f>
        <v>674</v>
      </c>
      <c r="G19" s="619">
        <v>12</v>
      </c>
      <c r="H19" s="620">
        <f>ROUND(E19*F19*G19,2)</f>
        <v>508.69</v>
      </c>
      <c r="I19" s="679"/>
      <c r="J19" s="680"/>
      <c r="K19" s="681"/>
      <c r="L19" s="680"/>
      <c r="M19" s="682"/>
      <c r="N19" s="683">
        <f>'Исх. дан.'!$D$8</f>
        <v>674</v>
      </c>
      <c r="O19" s="654">
        <f>ROUND(H19/N19/12,3)</f>
        <v>6.3E-2</v>
      </c>
    </row>
    <row r="20" spans="1:16" s="515" customFormat="1" ht="25.5">
      <c r="A20" s="645" t="s">
        <v>497</v>
      </c>
      <c r="B20" s="625" t="s">
        <v>498</v>
      </c>
      <c r="C20" s="626"/>
      <c r="D20" s="626"/>
      <c r="E20" s="626"/>
      <c r="F20" s="626"/>
      <c r="G20" s="627"/>
      <c r="H20" s="628">
        <f>SUM(H18:H19)</f>
        <v>2935.09</v>
      </c>
      <c r="I20" s="629"/>
      <c r="J20" s="630"/>
      <c r="K20" s="630"/>
      <c r="L20" s="630"/>
      <c r="M20" s="631"/>
      <c r="N20" s="632">
        <f>'Исх. дан.'!$D$8</f>
        <v>674</v>
      </c>
      <c r="O20" s="633">
        <f t="shared" ref="O20:O29" si="0">ROUND(H20/N20/12,2)</f>
        <v>0.36</v>
      </c>
    </row>
    <row r="21" spans="1:16" s="10" customFormat="1">
      <c r="A21" s="645" t="s">
        <v>499</v>
      </c>
      <c r="B21" s="686" t="s">
        <v>500</v>
      </c>
      <c r="C21" s="687"/>
      <c r="D21" s="643"/>
      <c r="E21" s="618" t="s">
        <v>284</v>
      </c>
      <c r="F21" s="618" t="s">
        <v>284</v>
      </c>
      <c r="G21" s="619" t="s">
        <v>284</v>
      </c>
      <c r="H21" s="688">
        <f>'СВИО и КЭ'!I25+'СВИО и КЭ'!I8</f>
        <v>13317.068231199999</v>
      </c>
      <c r="I21" s="689"/>
      <c r="J21" s="690"/>
      <c r="K21" s="643"/>
      <c r="L21" s="690"/>
      <c r="M21" s="691"/>
      <c r="N21" s="643">
        <f>'Исх. дан.'!$D$8</f>
        <v>674</v>
      </c>
      <c r="O21" s="692">
        <f t="shared" si="0"/>
        <v>1.65</v>
      </c>
      <c r="P21" s="693"/>
    </row>
    <row r="22" spans="1:16" s="10" customFormat="1">
      <c r="A22" s="645" t="s">
        <v>501</v>
      </c>
      <c r="B22" s="676" t="s">
        <v>502</v>
      </c>
      <c r="C22" s="694"/>
      <c r="D22" s="617"/>
      <c r="E22" s="618" t="s">
        <v>284</v>
      </c>
      <c r="F22" s="618" t="s">
        <v>284</v>
      </c>
      <c r="G22" s="619" t="s">
        <v>284</v>
      </c>
      <c r="H22" s="620">
        <f>'СВИО и КЭ'!I16</f>
        <v>1548.9198000000001</v>
      </c>
      <c r="I22" s="695"/>
      <c r="J22" s="696"/>
      <c r="K22" s="617"/>
      <c r="L22" s="696"/>
      <c r="M22" s="697"/>
      <c r="N22" s="643">
        <f>'Исх. дан.'!$D$8</f>
        <v>674</v>
      </c>
      <c r="O22" s="674">
        <f t="shared" si="0"/>
        <v>0.19</v>
      </c>
      <c r="P22" s="693"/>
    </row>
    <row r="23" spans="1:16" s="10" customFormat="1" ht="51">
      <c r="A23" s="645" t="s">
        <v>503</v>
      </c>
      <c r="B23" s="676" t="s">
        <v>504</v>
      </c>
      <c r="C23" s="694"/>
      <c r="D23" s="617"/>
      <c r="E23" s="618" t="s">
        <v>284</v>
      </c>
      <c r="F23" s="618" t="s">
        <v>284</v>
      </c>
      <c r="G23" s="619" t="s">
        <v>284</v>
      </c>
      <c r="H23" s="620">
        <f>'СВИО и КЭ'!F31</f>
        <v>718.08</v>
      </c>
      <c r="I23" s="695"/>
      <c r="J23" s="696"/>
      <c r="K23" s="617"/>
      <c r="L23" s="696"/>
      <c r="M23" s="697"/>
      <c r="N23" s="643">
        <f>'Исх. дан.'!$D$8</f>
        <v>674</v>
      </c>
      <c r="O23" s="674">
        <f t="shared" si="0"/>
        <v>0.09</v>
      </c>
      <c r="P23" s="693"/>
    </row>
    <row r="24" spans="1:16" s="10" customFormat="1" ht="25.5">
      <c r="A24" s="645" t="s">
        <v>505</v>
      </c>
      <c r="B24" s="676" t="s">
        <v>506</v>
      </c>
      <c r="C24" s="618"/>
      <c r="D24" s="617"/>
      <c r="E24" s="618" t="s">
        <v>284</v>
      </c>
      <c r="F24" s="618" t="s">
        <v>284</v>
      </c>
      <c r="G24" s="619" t="s">
        <v>284</v>
      </c>
      <c r="H24" s="620">
        <f>ROUND('Конструктивные элементы'!B13,2)</f>
        <v>43004.08</v>
      </c>
      <c r="I24" s="695"/>
      <c r="J24" s="696"/>
      <c r="K24" s="617"/>
      <c r="L24" s="696"/>
      <c r="M24" s="676"/>
      <c r="N24" s="643">
        <f>'Исх. дан.'!$D$8</f>
        <v>674</v>
      </c>
      <c r="O24" s="692">
        <f t="shared" si="0"/>
        <v>5.32</v>
      </c>
      <c r="P24" s="693"/>
    </row>
    <row r="25" spans="1:16" s="10" customFormat="1">
      <c r="A25" s="645" t="s">
        <v>507</v>
      </c>
      <c r="B25" s="615" t="s">
        <v>508</v>
      </c>
      <c r="C25" s="698"/>
      <c r="D25" s="616"/>
      <c r="E25" s="698" t="s">
        <v>284</v>
      </c>
      <c r="F25" s="698" t="s">
        <v>284</v>
      </c>
      <c r="G25" s="699" t="s">
        <v>284</v>
      </c>
      <c r="H25" s="700">
        <f>'СВИО и КЭ'!G63+'Конструктивные элементы'!G53</f>
        <v>456.82695241096451</v>
      </c>
      <c r="I25" s="701"/>
      <c r="J25" s="702"/>
      <c r="K25" s="616"/>
      <c r="L25" s="702"/>
      <c r="M25" s="615"/>
      <c r="N25" s="703">
        <f>'Исх. дан.'!$D$8</f>
        <v>674</v>
      </c>
      <c r="O25" s="704">
        <f t="shared" si="0"/>
        <v>0.06</v>
      </c>
      <c r="P25" s="693"/>
    </row>
    <row r="26" spans="1:16" s="149" customFormat="1" ht="24">
      <c r="A26" s="614" t="s">
        <v>509</v>
      </c>
      <c r="B26" s="705" t="s">
        <v>510</v>
      </c>
      <c r="C26" s="626"/>
      <c r="D26" s="626"/>
      <c r="E26" s="626"/>
      <c r="F26" s="626"/>
      <c r="G26" s="627"/>
      <c r="H26" s="628">
        <f>SUM(H21:H25)</f>
        <v>59044.974983610962</v>
      </c>
      <c r="I26" s="629"/>
      <c r="J26" s="706"/>
      <c r="K26" s="630"/>
      <c r="L26" s="706"/>
      <c r="M26" s="707"/>
      <c r="N26" s="708">
        <f>'Исх. дан.'!$D$8</f>
        <v>674</v>
      </c>
      <c r="O26" s="633">
        <f t="shared" si="0"/>
        <v>7.3</v>
      </c>
    </row>
    <row r="27" spans="1:16" s="716" customFormat="1" ht="15">
      <c r="A27" s="709" t="s">
        <v>511</v>
      </c>
      <c r="B27" s="710" t="s">
        <v>512</v>
      </c>
      <c r="C27" s="662" t="s">
        <v>513</v>
      </c>
      <c r="D27" s="643" t="s">
        <v>492</v>
      </c>
      <c r="E27" s="663">
        <f>'Транс. расх.'!C7</f>
        <v>1.1831041886998046</v>
      </c>
      <c r="F27" s="711">
        <f>'Исх. дан.'!$D$8</f>
        <v>674</v>
      </c>
      <c r="G27" s="665">
        <v>12</v>
      </c>
      <c r="H27" s="712">
        <f>ROUND(E27*F27*G27,2)</f>
        <v>9568.9500000000007</v>
      </c>
      <c r="I27" s="713"/>
      <c r="J27" s="714"/>
      <c r="K27" s="715"/>
      <c r="L27" s="714"/>
      <c r="M27" s="673"/>
      <c r="N27" s="670">
        <f>'Исх. дан.'!$D$8</f>
        <v>674</v>
      </c>
      <c r="O27" s="692">
        <f t="shared" si="0"/>
        <v>1.18</v>
      </c>
    </row>
    <row r="28" spans="1:16" s="723" customFormat="1" ht="38.25">
      <c r="A28" s="717" t="s">
        <v>514</v>
      </c>
      <c r="B28" s="646" t="s">
        <v>515</v>
      </c>
      <c r="C28" s="647" t="s">
        <v>516</v>
      </c>
      <c r="D28" s="617" t="s">
        <v>492</v>
      </c>
      <c r="E28" s="618">
        <f>ROUND(H28/G28/F28,2)</f>
        <v>0.09</v>
      </c>
      <c r="F28" s="618">
        <f>'Исх. дан.'!$D$8</f>
        <v>674</v>
      </c>
      <c r="G28" s="619">
        <v>12</v>
      </c>
      <c r="H28" s="620">
        <f>ROUND(SUM(H26,H20,H17,H8,H27,H13)*0.01,2)</f>
        <v>760.83</v>
      </c>
      <c r="I28" s="718"/>
      <c r="J28" s="719"/>
      <c r="K28" s="720"/>
      <c r="L28" s="719"/>
      <c r="M28" s="721"/>
      <c r="N28" s="683">
        <f>'Исх. дан.'!$D$8</f>
        <v>674</v>
      </c>
      <c r="O28" s="722">
        <f t="shared" si="0"/>
        <v>0.09</v>
      </c>
    </row>
    <row r="29" spans="1:16" s="515" customFormat="1" ht="14.25" customHeight="1">
      <c r="A29" s="601" t="s">
        <v>517</v>
      </c>
      <c r="B29" s="686" t="s">
        <v>518</v>
      </c>
      <c r="C29" s="643" t="s">
        <v>519</v>
      </c>
      <c r="D29" s="643" t="s">
        <v>492</v>
      </c>
      <c r="E29" s="711">
        <f>ROUND(H29/G29/F29,2)</f>
        <v>0.24</v>
      </c>
      <c r="F29" s="711">
        <f>'Исх. дан.'!$D$8</f>
        <v>674</v>
      </c>
      <c r="G29" s="724">
        <v>12</v>
      </c>
      <c r="H29" s="620">
        <f>ROUND(SUM(H26,H20,H17,H8,H27:H28,H13)*0.025,2)</f>
        <v>1921.1</v>
      </c>
      <c r="I29" s="607"/>
      <c r="J29" s="610"/>
      <c r="K29" s="609"/>
      <c r="L29" s="610"/>
      <c r="M29" s="725"/>
      <c r="N29" s="643">
        <f>'Исх. дан.'!$D$8</f>
        <v>674</v>
      </c>
      <c r="O29" s="692">
        <f t="shared" si="0"/>
        <v>0.24</v>
      </c>
    </row>
    <row r="30" spans="1:16" s="515" customFormat="1" ht="25.5">
      <c r="A30" s="645" t="s">
        <v>520</v>
      </c>
      <c r="B30" s="686" t="s">
        <v>521</v>
      </c>
      <c r="C30" s="687"/>
      <c r="D30" s="617" t="s">
        <v>492</v>
      </c>
      <c r="E30" s="711">
        <f>ROUND(H30/G30/F30,2)</f>
        <v>1.4</v>
      </c>
      <c r="F30" s="618">
        <f>'Исх. дан.'!$D$8</f>
        <v>674</v>
      </c>
      <c r="G30" s="724">
        <v>12</v>
      </c>
      <c r="H30" s="620">
        <f>O30*N30*G30</f>
        <v>11340.255744639941</v>
      </c>
      <c r="I30" s="726"/>
      <c r="J30" s="727"/>
      <c r="K30" s="728"/>
      <c r="L30" s="727"/>
      <c r="M30" s="729"/>
      <c r="N30" s="643">
        <f>'Исх. дан.'!$D$8</f>
        <v>674</v>
      </c>
      <c r="O30" s="654">
        <f>'Постоянные конст'!E14</f>
        <v>1.4021087715924752</v>
      </c>
      <c r="P30" s="730"/>
    </row>
    <row r="31" spans="1:16" s="515" customFormat="1" ht="25.5">
      <c r="A31" s="645" t="s">
        <v>522</v>
      </c>
      <c r="B31" s="731" t="s">
        <v>523</v>
      </c>
      <c r="C31" s="732" t="s">
        <v>524</v>
      </c>
      <c r="D31" s="616" t="s">
        <v>492</v>
      </c>
      <c r="E31" s="733">
        <f>ROUND(H31/G31/F31,2)</f>
        <v>0.13</v>
      </c>
      <c r="F31" s="618">
        <f>'Исх. дан.'!$D$8</f>
        <v>674</v>
      </c>
      <c r="G31" s="734">
        <v>12</v>
      </c>
      <c r="H31" s="620">
        <f>ROUND(H32*0.15,2)</f>
        <v>1081.27</v>
      </c>
      <c r="I31" s="735"/>
      <c r="J31" s="736"/>
      <c r="K31" s="737"/>
      <c r="L31" s="736"/>
      <c r="M31" s="738"/>
      <c r="N31" s="643">
        <f>'Исх. дан.'!$D$8</f>
        <v>674</v>
      </c>
      <c r="O31" s="722">
        <f>ROUND(H31/N31/12,2)</f>
        <v>0.13</v>
      </c>
    </row>
    <row r="32" spans="1:16" s="515" customFormat="1">
      <c r="A32" s="645" t="s">
        <v>525</v>
      </c>
      <c r="B32" s="615" t="s">
        <v>526</v>
      </c>
      <c r="C32" s="739" t="s">
        <v>290</v>
      </c>
      <c r="D32" s="616" t="s">
        <v>492</v>
      </c>
      <c r="E32" s="698">
        <f>ROUND(H32/G32/F32,2)</f>
        <v>0.89</v>
      </c>
      <c r="F32" s="698">
        <f>'Исх. дан.'!$D$8</f>
        <v>674</v>
      </c>
      <c r="G32" s="699">
        <v>12</v>
      </c>
      <c r="H32" s="666">
        <f>ROUND(SUM(H27:M30,H26,H20,H17,H8,H13)*0.08,2)</f>
        <v>7208.44</v>
      </c>
      <c r="I32" s="735"/>
      <c r="J32" s="736"/>
      <c r="K32" s="737"/>
      <c r="L32" s="736"/>
      <c r="M32" s="738"/>
      <c r="N32" s="703">
        <f>'Исх. дан.'!$D$8</f>
        <v>674</v>
      </c>
      <c r="O32" s="622">
        <f>ROUND(H32/N32/12,2)</f>
        <v>0.89</v>
      </c>
    </row>
    <row r="33" spans="1:16" s="107" customFormat="1" ht="15">
      <c r="A33" s="645" t="s">
        <v>527</v>
      </c>
      <c r="B33" s="740" t="s">
        <v>528</v>
      </c>
      <c r="C33" s="741"/>
      <c r="D33" s="741" t="s">
        <v>268</v>
      </c>
      <c r="E33" s="742"/>
      <c r="F33" s="743">
        <f>'Исх. дан.'!$D$8</f>
        <v>674</v>
      </c>
      <c r="G33" s="744"/>
      <c r="H33" s="745">
        <f>SUM(H8,H17,H20,H26,H27:H32,H13)</f>
        <v>98395.160648250923</v>
      </c>
      <c r="I33" s="746"/>
      <c r="J33" s="747"/>
      <c r="K33" s="747"/>
      <c r="L33" s="747"/>
      <c r="M33" s="748"/>
      <c r="N33" s="749">
        <f>'Исх. дан.'!$D$8</f>
        <v>674</v>
      </c>
      <c r="O33" s="750">
        <f>ROUND(H33/N33/12,2)</f>
        <v>12.17</v>
      </c>
      <c r="P33" s="751"/>
    </row>
  </sheetData>
  <sheetProtection selectLockedCells="1" selectUnlockedCells="1"/>
  <mergeCells count="3">
    <mergeCell ref="B1:O1"/>
    <mergeCell ref="I3:L3"/>
    <mergeCell ref="O3:O4"/>
  </mergeCells>
  <pageMargins left="0.19652777777777777" right="0" top="0.59027777777777779" bottom="0.39375000000000004" header="0.51180555555555551" footer="0.11805555555555555"/>
  <pageSetup paperSize="9" scale="85" firstPageNumber="0" orientation="portrait" horizontalDpi="300" verticalDpi="300"/>
  <headerFooter alignWithMargins="0">
    <oddFooter>&amp;CСтраница &amp;P из &amp;N</oddFooter>
  </headerFooter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2" zoomScale="126" zoomScaleNormal="126" workbookViewId="0">
      <selection activeCell="M55" sqref="M55"/>
    </sheetView>
  </sheetViews>
  <sheetFormatPr defaultColWidth="8.7109375" defaultRowHeight="12.75"/>
  <cols>
    <col min="1" max="1" width="7.5703125" style="307" customWidth="1"/>
    <col min="2" max="2" width="49.42578125" customWidth="1"/>
    <col min="3" max="3" width="16.85546875" customWidth="1"/>
    <col min="4" max="4" width="15.5703125" hidden="1" customWidth="1"/>
    <col min="5" max="5" width="12.42578125" customWidth="1"/>
    <col min="6" max="6" width="11" customWidth="1"/>
    <col min="7" max="7" width="8.7109375" hidden="1" customWidth="1"/>
    <col min="8" max="8" width="12" customWidth="1"/>
    <col min="9" max="248" width="8.7109375" customWidth="1"/>
    <col min="249" max="249" width="5" customWidth="1"/>
    <col min="250" max="250" width="20.85546875" customWidth="1"/>
    <col min="251" max="251" width="15.7109375" customWidth="1"/>
    <col min="252" max="252" width="10.140625" customWidth="1"/>
  </cols>
  <sheetData>
    <row r="1" spans="1:8" ht="121.5" hidden="1" customHeight="1">
      <c r="C1" s="863" t="s">
        <v>625</v>
      </c>
      <c r="D1" s="863"/>
      <c r="E1" s="863"/>
    </row>
    <row r="2" spans="1:8" ht="62.25" customHeight="1">
      <c r="A2" s="864" t="s">
        <v>626</v>
      </c>
      <c r="B2" s="864"/>
      <c r="C2" s="864"/>
      <c r="D2" s="864"/>
      <c r="E2" s="864"/>
      <c r="F2" s="864"/>
    </row>
    <row r="3" spans="1:8" ht="13.5" thickBot="1"/>
    <row r="4" spans="1:8" ht="74.25" thickBot="1">
      <c r="A4" s="805" t="s">
        <v>529</v>
      </c>
      <c r="B4" s="806" t="s">
        <v>530</v>
      </c>
      <c r="C4" s="806" t="s">
        <v>531</v>
      </c>
      <c r="D4" s="807" t="s">
        <v>532</v>
      </c>
      <c r="E4" s="799" t="s">
        <v>627</v>
      </c>
      <c r="F4" s="795" t="s">
        <v>627</v>
      </c>
      <c r="G4" s="800"/>
      <c r="H4" s="801" t="s">
        <v>628</v>
      </c>
    </row>
    <row r="5" spans="1:8" ht="13.5">
      <c r="A5" s="802"/>
      <c r="B5" s="803" t="s">
        <v>533</v>
      </c>
      <c r="C5" s="803">
        <f>'Исх. дан.'!D8</f>
        <v>674</v>
      </c>
      <c r="D5" s="804"/>
      <c r="E5" s="797"/>
      <c r="F5" s="798"/>
      <c r="H5" s="798"/>
    </row>
    <row r="6" spans="1:8" ht="12.75" customHeight="1">
      <c r="A6" s="860" t="s">
        <v>534</v>
      </c>
      <c r="B6" s="861"/>
      <c r="C6" s="861"/>
      <c r="D6" s="861"/>
      <c r="E6" s="862"/>
      <c r="F6" s="790"/>
      <c r="H6" s="790"/>
    </row>
    <row r="7" spans="1:8" ht="24">
      <c r="A7" s="773" t="s">
        <v>535</v>
      </c>
      <c r="B7" s="753" t="s">
        <v>536</v>
      </c>
      <c r="C7" s="753"/>
      <c r="D7" s="754">
        <f>'ВСЕ раб'!H24</f>
        <v>43004.08</v>
      </c>
      <c r="E7" s="784">
        <v>5.51</v>
      </c>
      <c r="F7" s="792">
        <f>E7*1.05</f>
        <v>5.7854999999999999</v>
      </c>
      <c r="G7" s="794">
        <f>F7*1.05</f>
        <v>6.0747749999999998</v>
      </c>
      <c r="H7" s="792">
        <f>F7*1.0217</f>
        <v>5.9110453500000002</v>
      </c>
    </row>
    <row r="8" spans="1:8" ht="12.75" customHeight="1">
      <c r="A8" s="773" t="s">
        <v>537</v>
      </c>
      <c r="B8" s="852" t="s">
        <v>538</v>
      </c>
      <c r="C8" s="852"/>
      <c r="D8" s="852"/>
      <c r="E8" s="853"/>
      <c r="F8" s="790"/>
      <c r="H8" s="790"/>
    </row>
    <row r="9" spans="1:8" s="12" customFormat="1" ht="13.5" customHeight="1">
      <c r="A9" s="774" t="s">
        <v>539</v>
      </c>
      <c r="B9" s="755" t="s">
        <v>540</v>
      </c>
      <c r="C9" s="756" t="s">
        <v>541</v>
      </c>
      <c r="D9" s="756"/>
      <c r="E9" s="785"/>
      <c r="F9" s="791"/>
      <c r="H9" s="791"/>
    </row>
    <row r="10" spans="1:8" s="12" customFormat="1" ht="24" customHeight="1">
      <c r="A10" s="774" t="s">
        <v>542</v>
      </c>
      <c r="B10" s="755" t="s">
        <v>543</v>
      </c>
      <c r="C10" s="756" t="s">
        <v>544</v>
      </c>
      <c r="D10" s="756"/>
      <c r="E10" s="785"/>
      <c r="F10" s="791"/>
      <c r="H10" s="791"/>
    </row>
    <row r="11" spans="1:8" ht="12.75" customHeight="1">
      <c r="A11" s="773" t="s">
        <v>545</v>
      </c>
      <c r="B11" s="852" t="s">
        <v>546</v>
      </c>
      <c r="C11" s="852"/>
      <c r="D11" s="852"/>
      <c r="E11" s="853"/>
      <c r="F11" s="790"/>
      <c r="H11" s="790"/>
    </row>
    <row r="12" spans="1:8" s="12" customFormat="1" ht="27.75" customHeight="1">
      <c r="A12" s="774" t="s">
        <v>547</v>
      </c>
      <c r="B12" s="755" t="s">
        <v>548</v>
      </c>
      <c r="C12" s="756" t="s">
        <v>549</v>
      </c>
      <c r="D12" s="756"/>
      <c r="E12" s="785"/>
      <c r="F12" s="791"/>
      <c r="H12" s="791"/>
    </row>
    <row r="13" spans="1:8" s="12" customFormat="1" ht="24">
      <c r="A13" s="774" t="s">
        <v>550</v>
      </c>
      <c r="B13" s="755" t="s">
        <v>551</v>
      </c>
      <c r="C13" s="756" t="s">
        <v>516</v>
      </c>
      <c r="D13" s="756"/>
      <c r="E13" s="785"/>
      <c r="F13" s="791"/>
      <c r="H13" s="791"/>
    </row>
    <row r="14" spans="1:8" s="12" customFormat="1" ht="24">
      <c r="A14" s="774" t="s">
        <v>552</v>
      </c>
      <c r="B14" s="755" t="s">
        <v>553</v>
      </c>
      <c r="C14" s="756" t="s">
        <v>516</v>
      </c>
      <c r="D14" s="756"/>
      <c r="E14" s="785"/>
      <c r="F14" s="791"/>
      <c r="H14" s="791"/>
    </row>
    <row r="15" spans="1:8" s="12" customFormat="1" ht="24">
      <c r="A15" s="774" t="s">
        <v>554</v>
      </c>
      <c r="B15" s="755" t="s">
        <v>556</v>
      </c>
      <c r="C15" s="756" t="s">
        <v>516</v>
      </c>
      <c r="D15" s="756"/>
      <c r="E15" s="785"/>
      <c r="F15" s="791"/>
      <c r="H15" s="791"/>
    </row>
    <row r="16" spans="1:8" s="12" customFormat="1" ht="24">
      <c r="A16" s="774" t="s">
        <v>555</v>
      </c>
      <c r="B16" s="755" t="s">
        <v>557</v>
      </c>
      <c r="C16" s="756" t="s">
        <v>516</v>
      </c>
      <c r="D16" s="756"/>
      <c r="E16" s="785"/>
      <c r="F16" s="791"/>
      <c r="H16" s="791"/>
    </row>
    <row r="17" spans="1:8" ht="12.75" customHeight="1">
      <c r="A17" s="773" t="s">
        <v>558</v>
      </c>
      <c r="B17" s="852" t="s">
        <v>559</v>
      </c>
      <c r="C17" s="852"/>
      <c r="D17" s="852"/>
      <c r="E17" s="853"/>
      <c r="F17" s="790"/>
      <c r="H17" s="790"/>
    </row>
    <row r="18" spans="1:8" s="12" customFormat="1">
      <c r="A18" s="774" t="s">
        <v>560</v>
      </c>
      <c r="B18" s="755" t="s">
        <v>624</v>
      </c>
      <c r="C18" s="756" t="s">
        <v>491</v>
      </c>
      <c r="D18" s="756"/>
      <c r="E18" s="785"/>
      <c r="F18" s="791"/>
      <c r="H18" s="791"/>
    </row>
    <row r="19" spans="1:8" s="12" customFormat="1">
      <c r="A19" s="774" t="s">
        <v>561</v>
      </c>
      <c r="B19" s="755" t="s">
        <v>562</v>
      </c>
      <c r="C19" s="756" t="s">
        <v>491</v>
      </c>
      <c r="D19" s="756"/>
      <c r="E19" s="785"/>
      <c r="F19" s="791"/>
      <c r="H19" s="791"/>
    </row>
    <row r="20" spans="1:8" s="12" customFormat="1" ht="24">
      <c r="A20" s="774" t="s">
        <v>563</v>
      </c>
      <c r="B20" s="755" t="s">
        <v>564</v>
      </c>
      <c r="C20" s="756" t="s">
        <v>516</v>
      </c>
      <c r="D20" s="756"/>
      <c r="E20" s="785"/>
      <c r="F20" s="791"/>
      <c r="H20" s="791"/>
    </row>
    <row r="21" spans="1:8" s="12" customFormat="1" ht="24">
      <c r="A21" s="774" t="s">
        <v>565</v>
      </c>
      <c r="B21" s="755" t="s">
        <v>566</v>
      </c>
      <c r="C21" s="756" t="s">
        <v>516</v>
      </c>
      <c r="D21" s="756"/>
      <c r="E21" s="785"/>
      <c r="F21" s="791"/>
      <c r="H21" s="791"/>
    </row>
    <row r="22" spans="1:8" s="12" customFormat="1" ht="36">
      <c r="A22" s="774" t="s">
        <v>567</v>
      </c>
      <c r="B22" s="755" t="s">
        <v>568</v>
      </c>
      <c r="C22" s="756" t="s">
        <v>516</v>
      </c>
      <c r="D22" s="756"/>
      <c r="E22" s="785"/>
      <c r="F22" s="791"/>
      <c r="H22" s="791"/>
    </row>
    <row r="23" spans="1:8" s="12" customFormat="1" ht="24">
      <c r="A23" s="774" t="s">
        <v>569</v>
      </c>
      <c r="B23" s="755" t="s">
        <v>570</v>
      </c>
      <c r="C23" s="756" t="s">
        <v>516</v>
      </c>
      <c r="D23" s="756"/>
      <c r="E23" s="785"/>
      <c r="F23" s="791"/>
      <c r="H23" s="791"/>
    </row>
    <row r="24" spans="1:8" s="12" customFormat="1" ht="24">
      <c r="A24" s="774" t="s">
        <v>571</v>
      </c>
      <c r="B24" s="755" t="s">
        <v>572</v>
      </c>
      <c r="C24" s="756" t="s">
        <v>516</v>
      </c>
      <c r="D24" s="756"/>
      <c r="E24" s="785"/>
      <c r="F24" s="791"/>
      <c r="H24" s="791"/>
    </row>
    <row r="25" spans="1:8" s="12" customFormat="1">
      <c r="A25" s="774" t="s">
        <v>573</v>
      </c>
      <c r="B25" s="755" t="s">
        <v>574</v>
      </c>
      <c r="C25" s="756" t="s">
        <v>549</v>
      </c>
      <c r="D25" s="756"/>
      <c r="E25" s="785"/>
      <c r="F25" s="791"/>
      <c r="H25" s="791"/>
    </row>
    <row r="26" spans="1:8" s="12" customFormat="1">
      <c r="A26" s="774" t="s">
        <v>575</v>
      </c>
      <c r="B26" s="755" t="s">
        <v>576</v>
      </c>
      <c r="C26" s="756" t="s">
        <v>491</v>
      </c>
      <c r="D26" s="756"/>
      <c r="E26" s="785"/>
      <c r="F26" s="791"/>
      <c r="H26" s="791"/>
    </row>
    <row r="27" spans="1:8" ht="12.75" customHeight="1">
      <c r="A27" s="860" t="s">
        <v>577</v>
      </c>
      <c r="B27" s="861"/>
      <c r="C27" s="861"/>
      <c r="D27" s="861"/>
      <c r="E27" s="862"/>
      <c r="F27" s="790"/>
      <c r="H27" s="790"/>
    </row>
    <row r="28" spans="1:8" ht="24">
      <c r="A28" s="773" t="s">
        <v>578</v>
      </c>
      <c r="B28" s="753" t="s">
        <v>579</v>
      </c>
      <c r="C28" s="753"/>
      <c r="D28" s="754">
        <f>SUM(D30:D32,D34:D35,D37:D46,D48:D48)</f>
        <v>29214.93377104</v>
      </c>
      <c r="E28" s="786">
        <v>3.6</v>
      </c>
      <c r="F28" s="792">
        <f>E28*1.05</f>
        <v>3.7800000000000002</v>
      </c>
      <c r="H28" s="792">
        <f>F28*1.0217</f>
        <v>3.8620260000000006</v>
      </c>
    </row>
    <row r="29" spans="1:8" ht="12.75" customHeight="1">
      <c r="A29" s="773" t="s">
        <v>580</v>
      </c>
      <c r="B29" s="852" t="s">
        <v>581</v>
      </c>
      <c r="C29" s="852"/>
      <c r="D29" s="852"/>
      <c r="E29" s="853"/>
      <c r="F29" s="790"/>
      <c r="H29" s="790"/>
    </row>
    <row r="30" spans="1:8" s="12" customFormat="1" ht="24">
      <c r="A30" s="774" t="s">
        <v>582</v>
      </c>
      <c r="B30" s="757" t="s">
        <v>388</v>
      </c>
      <c r="C30" s="756" t="s">
        <v>491</v>
      </c>
      <c r="D30" s="758">
        <f>'СВИО и КЭ'!I5</f>
        <v>793.41891120000003</v>
      </c>
      <c r="E30" s="787">
        <v>0.11396000000000001</v>
      </c>
      <c r="F30" s="796">
        <f>E30*1.05</f>
        <v>0.11965800000000001</v>
      </c>
      <c r="H30" s="793">
        <f>F30*1.0217</f>
        <v>0.12225457860000002</v>
      </c>
    </row>
    <row r="31" spans="1:8" s="12" customFormat="1" ht="24">
      <c r="A31" s="774" t="s">
        <v>618</v>
      </c>
      <c r="B31" s="757" t="s">
        <v>391</v>
      </c>
      <c r="C31" s="756" t="s">
        <v>491</v>
      </c>
      <c r="D31" s="758">
        <f>C5*E31*12</f>
        <v>335.16672000000005</v>
      </c>
      <c r="E31" s="787">
        <v>4.1440000000000005E-2</v>
      </c>
      <c r="F31" s="796">
        <f t="shared" ref="F31:F56" si="0">E31*1.05</f>
        <v>4.3512000000000009E-2</v>
      </c>
      <c r="H31" s="793">
        <f t="shared" ref="H31:H57" si="1">F31*1.0217</f>
        <v>4.4456210400000008E-2</v>
      </c>
    </row>
    <row r="32" spans="1:8" s="12" customFormat="1" ht="24">
      <c r="A32" s="774" t="s">
        <v>583</v>
      </c>
      <c r="B32" s="757" t="s">
        <v>394</v>
      </c>
      <c r="C32" s="756" t="s">
        <v>491</v>
      </c>
      <c r="D32" s="758">
        <f>E32*C5*12</f>
        <v>251.37504000000001</v>
      </c>
      <c r="E32" s="787">
        <v>3.108E-2</v>
      </c>
      <c r="F32" s="796">
        <f t="shared" si="0"/>
        <v>3.2634000000000003E-2</v>
      </c>
      <c r="H32" s="793">
        <f t="shared" si="1"/>
        <v>3.3342157800000008E-2</v>
      </c>
    </row>
    <row r="33" spans="1:8" ht="12.75" customHeight="1">
      <c r="A33" s="773" t="s">
        <v>584</v>
      </c>
      <c r="B33" s="852" t="s">
        <v>585</v>
      </c>
      <c r="C33" s="852"/>
      <c r="D33" s="852"/>
      <c r="E33" s="853"/>
      <c r="F33" s="796"/>
      <c r="H33" s="793"/>
    </row>
    <row r="34" spans="1:8" ht="36">
      <c r="A34" s="774" t="s">
        <v>586</v>
      </c>
      <c r="B34" s="755" t="s">
        <v>588</v>
      </c>
      <c r="C34" s="756" t="s">
        <v>589</v>
      </c>
      <c r="D34" s="758">
        <f>E34*C5*12</f>
        <v>754.12512000000004</v>
      </c>
      <c r="E34" s="787">
        <v>9.3240000000000003E-2</v>
      </c>
      <c r="F34" s="796">
        <f t="shared" si="0"/>
        <v>9.7902000000000003E-2</v>
      </c>
      <c r="H34" s="793">
        <f t="shared" si="1"/>
        <v>0.10002647340000001</v>
      </c>
    </row>
    <row r="35" spans="1:8" s="12" customFormat="1">
      <c r="A35" s="774" t="s">
        <v>587</v>
      </c>
      <c r="B35" s="755" t="s">
        <v>398</v>
      </c>
      <c r="C35" s="756" t="s">
        <v>491</v>
      </c>
      <c r="D35" s="758">
        <f>'СВИО и КЭ'!I10</f>
        <v>1206.6030000000001</v>
      </c>
      <c r="E35" s="787">
        <v>0.15540000000000001</v>
      </c>
      <c r="F35" s="796">
        <f t="shared" si="0"/>
        <v>0.16317000000000001</v>
      </c>
      <c r="H35" s="793">
        <f t="shared" si="1"/>
        <v>0.16671078900000003</v>
      </c>
    </row>
    <row r="36" spans="1:8" ht="12.75" customHeight="1">
      <c r="A36" s="773" t="s">
        <v>590</v>
      </c>
      <c r="B36" s="852" t="s">
        <v>413</v>
      </c>
      <c r="C36" s="852"/>
      <c r="D36" s="852"/>
      <c r="E36" s="853"/>
      <c r="F36" s="796"/>
      <c r="H36" s="793"/>
    </row>
    <row r="37" spans="1:8">
      <c r="A37" s="774" t="s">
        <v>591</v>
      </c>
      <c r="B37" s="755" t="s">
        <v>427</v>
      </c>
      <c r="C37" s="756" t="s">
        <v>491</v>
      </c>
      <c r="D37" s="758">
        <f>E37*C5*12</f>
        <v>2257.0126924800006</v>
      </c>
      <c r="E37" s="787">
        <v>0.27905696000000008</v>
      </c>
      <c r="F37" s="796">
        <f t="shared" si="0"/>
        <v>0.29300980800000009</v>
      </c>
      <c r="H37" s="793">
        <f t="shared" si="1"/>
        <v>0.29936812083360009</v>
      </c>
    </row>
    <row r="38" spans="1:8">
      <c r="A38" s="774" t="s">
        <v>592</v>
      </c>
      <c r="B38" s="759" t="s">
        <v>421</v>
      </c>
      <c r="C38" s="756" t="s">
        <v>491</v>
      </c>
      <c r="D38" s="758">
        <f>E38*C5*12</f>
        <v>260.42454143999998</v>
      </c>
      <c r="E38" s="787">
        <v>3.2198879999999999E-2</v>
      </c>
      <c r="F38" s="796">
        <f t="shared" si="0"/>
        <v>3.3808824000000001E-2</v>
      </c>
      <c r="H38" s="793">
        <f t="shared" si="1"/>
        <v>3.45424754808E-2</v>
      </c>
    </row>
    <row r="39" spans="1:8">
      <c r="A39" s="774" t="s">
        <v>593</v>
      </c>
      <c r="B39" s="755" t="s">
        <v>594</v>
      </c>
      <c r="C39" s="756" t="s">
        <v>486</v>
      </c>
      <c r="D39" s="758">
        <f>'ВСЕ раб'!H13</f>
        <v>3900</v>
      </c>
      <c r="E39" s="787">
        <v>0.51518207999999999</v>
      </c>
      <c r="F39" s="796">
        <f t="shared" si="0"/>
        <v>0.54094118400000002</v>
      </c>
      <c r="H39" s="793">
        <f t="shared" si="1"/>
        <v>0.5526796076928</v>
      </c>
    </row>
    <row r="40" spans="1:8">
      <c r="A40" s="774" t="s">
        <v>595</v>
      </c>
      <c r="B40" s="752" t="s">
        <v>494</v>
      </c>
      <c r="C40" s="756" t="s">
        <v>513</v>
      </c>
      <c r="D40" s="758">
        <f>'ВСЕ раб'!H18</f>
        <v>2426.4</v>
      </c>
      <c r="E40" s="787">
        <v>0.32198880000000002</v>
      </c>
      <c r="F40" s="796">
        <f t="shared" si="0"/>
        <v>0.33808824000000004</v>
      </c>
      <c r="H40" s="793">
        <f t="shared" si="1"/>
        <v>0.34542475480800006</v>
      </c>
    </row>
    <row r="41" spans="1:8" s="12" customFormat="1">
      <c r="A41" s="775" t="s">
        <v>623</v>
      </c>
      <c r="B41" s="752" t="s">
        <v>417</v>
      </c>
      <c r="C41" s="756" t="s">
        <v>491</v>
      </c>
      <c r="D41" s="758">
        <f>E41*C5*12</f>
        <v>954.88998528000002</v>
      </c>
      <c r="E41" s="787">
        <v>0.11806256000000001</v>
      </c>
      <c r="F41" s="796">
        <f t="shared" si="0"/>
        <v>0.12396568800000002</v>
      </c>
      <c r="H41" s="793">
        <f t="shared" si="1"/>
        <v>0.12665574342960004</v>
      </c>
    </row>
    <row r="42" spans="1:8" s="12" customFormat="1" ht="22.5" customHeight="1">
      <c r="A42" s="776" t="s">
        <v>596</v>
      </c>
      <c r="B42" s="752" t="s">
        <v>598</v>
      </c>
      <c r="C42" s="756" t="s">
        <v>516</v>
      </c>
      <c r="D42" s="758">
        <f>C5*12*E42</f>
        <v>5998.7091340800007</v>
      </c>
      <c r="E42" s="787">
        <v>0.74168016000000003</v>
      </c>
      <c r="F42" s="796">
        <f t="shared" si="0"/>
        <v>0.77876416800000003</v>
      </c>
      <c r="H42" s="793">
        <f t="shared" si="1"/>
        <v>0.7956633504456001</v>
      </c>
    </row>
    <row r="43" spans="1:8" s="12" customFormat="1" ht="36">
      <c r="A43" s="777" t="s">
        <v>622</v>
      </c>
      <c r="B43" s="770" t="s">
        <v>620</v>
      </c>
      <c r="C43" s="756" t="s">
        <v>621</v>
      </c>
      <c r="D43" s="758">
        <f>E43*C5*12</f>
        <v>7899.5444236800013</v>
      </c>
      <c r="E43" s="787">
        <v>0.97669936000000013</v>
      </c>
      <c r="F43" s="796">
        <f t="shared" si="0"/>
        <v>1.0255343280000002</v>
      </c>
      <c r="H43" s="793">
        <f t="shared" si="1"/>
        <v>1.0477884229176002</v>
      </c>
    </row>
    <row r="44" spans="1:8" s="12" customFormat="1" ht="24">
      <c r="A44" s="778" t="s">
        <v>597</v>
      </c>
      <c r="B44" s="752" t="s">
        <v>504</v>
      </c>
      <c r="C44" s="756" t="s">
        <v>600</v>
      </c>
      <c r="D44" s="758">
        <f>C5*12*E44</f>
        <v>520.84908287999997</v>
      </c>
      <c r="E44" s="787">
        <v>6.4397759999999998E-2</v>
      </c>
      <c r="F44" s="796">
        <f t="shared" si="0"/>
        <v>6.7617648000000002E-2</v>
      </c>
      <c r="H44" s="793">
        <f t="shared" si="1"/>
        <v>6.90849509616E-2</v>
      </c>
    </row>
    <row r="45" spans="1:8" s="12" customFormat="1">
      <c r="A45" s="774" t="s">
        <v>599</v>
      </c>
      <c r="B45" s="752" t="s">
        <v>496</v>
      </c>
      <c r="C45" s="756" t="s">
        <v>600</v>
      </c>
      <c r="D45" s="758">
        <f>'ВСЕ раб'!H19</f>
        <v>508.69</v>
      </c>
      <c r="E45" s="787">
        <v>6.4397759999999998E-2</v>
      </c>
      <c r="F45" s="796">
        <f t="shared" si="0"/>
        <v>6.7617648000000002E-2</v>
      </c>
      <c r="H45" s="793">
        <f t="shared" si="1"/>
        <v>6.90849509616E-2</v>
      </c>
    </row>
    <row r="46" spans="1:8" s="12" customFormat="1">
      <c r="A46" s="774" t="s">
        <v>601</v>
      </c>
      <c r="B46" s="752" t="s">
        <v>602</v>
      </c>
      <c r="C46" s="756" t="s">
        <v>513</v>
      </c>
      <c r="D46" s="758">
        <f>'ВСЕ раб'!H8</f>
        <v>634.24992000000009</v>
      </c>
      <c r="E46" s="787">
        <v>8.5863680000000012E-2</v>
      </c>
      <c r="F46" s="796">
        <f t="shared" si="0"/>
        <v>9.0156864000000017E-2</v>
      </c>
      <c r="H46" s="793">
        <f t="shared" si="1"/>
        <v>9.2113267948800023E-2</v>
      </c>
    </row>
    <row r="47" spans="1:8" s="107" customFormat="1" ht="12.75" customHeight="1">
      <c r="A47" s="773" t="s">
        <v>603</v>
      </c>
      <c r="B47" s="854" t="s">
        <v>604</v>
      </c>
      <c r="C47" s="854"/>
      <c r="D47" s="854"/>
      <c r="E47" s="855"/>
      <c r="F47" s="796"/>
      <c r="H47" s="793"/>
    </row>
    <row r="48" spans="1:8" s="12" customFormat="1">
      <c r="A48" s="774" t="s">
        <v>605</v>
      </c>
      <c r="B48" s="752" t="s">
        <v>606</v>
      </c>
      <c r="C48" s="756" t="s">
        <v>491</v>
      </c>
      <c r="D48" s="758">
        <f>'СВИО и КЭ'!I24</f>
        <v>513.47519999999997</v>
      </c>
      <c r="E48" s="787">
        <v>0.06</v>
      </c>
      <c r="F48" s="796">
        <f t="shared" si="0"/>
        <v>6.3E-2</v>
      </c>
      <c r="H48" s="793">
        <f t="shared" si="1"/>
        <v>6.436710000000001E-2</v>
      </c>
    </row>
    <row r="49" spans="1:8" ht="12.75" customHeight="1">
      <c r="A49" s="856" t="s">
        <v>607</v>
      </c>
      <c r="B49" s="857"/>
      <c r="C49" s="857"/>
      <c r="D49" s="857"/>
      <c r="E49" s="858"/>
      <c r="F49" s="796"/>
      <c r="H49" s="793"/>
    </row>
    <row r="50" spans="1:8">
      <c r="A50" s="779" t="s">
        <v>608</v>
      </c>
      <c r="B50" s="760" t="s">
        <v>512</v>
      </c>
      <c r="C50" s="761" t="s">
        <v>513</v>
      </c>
      <c r="D50" s="758">
        <f>'ВСЕ раб'!H27</f>
        <v>9568.9500000000007</v>
      </c>
      <c r="E50" s="787">
        <v>1.24248</v>
      </c>
      <c r="F50" s="796">
        <f t="shared" si="0"/>
        <v>1.3046040000000001</v>
      </c>
      <c r="H50" s="793">
        <f t="shared" si="1"/>
        <v>1.3329139068000002</v>
      </c>
    </row>
    <row r="51" spans="1:8">
      <c r="A51" s="772" t="s">
        <v>609</v>
      </c>
      <c r="B51" s="752" t="s">
        <v>610</v>
      </c>
      <c r="C51" s="762" t="s">
        <v>513</v>
      </c>
      <c r="D51" s="758">
        <f>'ВСЕ раб'!H25</f>
        <v>456.82695241096451</v>
      </c>
      <c r="E51" s="787">
        <v>6.216E-2</v>
      </c>
      <c r="F51" s="796">
        <f t="shared" si="0"/>
        <v>6.5268000000000007E-2</v>
      </c>
      <c r="H51" s="793">
        <f t="shared" si="1"/>
        <v>6.6684315600000016E-2</v>
      </c>
    </row>
    <row r="52" spans="1:8" ht="24">
      <c r="A52" s="772" t="s">
        <v>611</v>
      </c>
      <c r="B52" s="752" t="s">
        <v>612</v>
      </c>
      <c r="C52" s="762" t="s">
        <v>516</v>
      </c>
      <c r="D52" s="758">
        <f>'ВСЕ раб'!H28</f>
        <v>760.83</v>
      </c>
      <c r="E52" s="787">
        <v>9.3240000000000003E-2</v>
      </c>
      <c r="F52" s="796">
        <f t="shared" si="0"/>
        <v>9.7902000000000003E-2</v>
      </c>
      <c r="H52" s="793">
        <f t="shared" si="1"/>
        <v>0.10002647340000001</v>
      </c>
    </row>
    <row r="53" spans="1:8">
      <c r="A53" s="772" t="s">
        <v>613</v>
      </c>
      <c r="B53" s="752" t="s">
        <v>614</v>
      </c>
      <c r="C53" s="762" t="s">
        <v>513</v>
      </c>
      <c r="D53" s="758">
        <f>E53*12*C5</f>
        <v>2262.3753600000005</v>
      </c>
      <c r="E53" s="787">
        <v>0.27972000000000002</v>
      </c>
      <c r="F53" s="796">
        <f t="shared" si="0"/>
        <v>0.29370600000000002</v>
      </c>
      <c r="H53" s="793">
        <f t="shared" si="1"/>
        <v>0.30007942020000006</v>
      </c>
    </row>
    <row r="54" spans="1:8">
      <c r="A54" s="772" t="s">
        <v>615</v>
      </c>
      <c r="B54" s="752" t="s">
        <v>521</v>
      </c>
      <c r="C54" s="762" t="s">
        <v>513</v>
      </c>
      <c r="D54" s="758">
        <f>'ВСЕ раб'!H30</f>
        <v>11340.255744639941</v>
      </c>
      <c r="E54" s="787">
        <v>1.4503999999999999</v>
      </c>
      <c r="F54" s="796">
        <f t="shared" si="0"/>
        <v>1.5229200000000001</v>
      </c>
      <c r="H54" s="793">
        <f t="shared" si="1"/>
        <v>1.5559673640000002</v>
      </c>
    </row>
    <row r="55" spans="1:8">
      <c r="A55" s="772" t="s">
        <v>616</v>
      </c>
      <c r="B55" s="752" t="s">
        <v>523</v>
      </c>
      <c r="C55" s="762" t="s">
        <v>513</v>
      </c>
      <c r="D55" s="758">
        <f>'ВСЕ раб'!H31</f>
        <v>1081.27</v>
      </c>
      <c r="E55" s="787">
        <v>0.13468000000000002</v>
      </c>
      <c r="F55" s="796">
        <f t="shared" si="0"/>
        <v>0.14141400000000004</v>
      </c>
      <c r="H55" s="793">
        <f t="shared" si="1"/>
        <v>0.14448268380000004</v>
      </c>
    </row>
    <row r="56" spans="1:8" ht="13.5" thickBot="1">
      <c r="A56" s="780" t="s">
        <v>617</v>
      </c>
      <c r="B56" s="781" t="s">
        <v>526</v>
      </c>
      <c r="C56" s="782" t="s">
        <v>513</v>
      </c>
      <c r="D56" s="783">
        <f>'ВСЕ раб'!H32</f>
        <v>7208.44</v>
      </c>
      <c r="E56" s="808">
        <v>1.0878000000000001</v>
      </c>
      <c r="F56" s="809">
        <f t="shared" si="0"/>
        <v>1.1421900000000003</v>
      </c>
      <c r="H56" s="810">
        <f t="shared" si="1"/>
        <v>1.1669755230000003</v>
      </c>
    </row>
    <row r="57" spans="1:8" s="107" customFormat="1" ht="13.5" thickBot="1">
      <c r="A57" s="859" t="s">
        <v>222</v>
      </c>
      <c r="B57" s="859"/>
      <c r="C57" s="859"/>
      <c r="D57" s="771">
        <f>SUM(D7,D28,D50:D56)</f>
        <v>104897.96182809092</v>
      </c>
      <c r="E57" s="811">
        <v>13.46</v>
      </c>
      <c r="F57" s="812">
        <f>E57*1.05</f>
        <v>14.133000000000001</v>
      </c>
      <c r="G57" s="813">
        <f>F7+F28+F50+F51+F52+F53+F54+F55+F56</f>
        <v>14.133503999999999</v>
      </c>
      <c r="H57" s="814">
        <f t="shared" si="1"/>
        <v>14.439686100000001</v>
      </c>
    </row>
    <row r="58" spans="1:8" hidden="1">
      <c r="E58" s="788">
        <v>13.46</v>
      </c>
      <c r="F58" s="789">
        <f>E58*1.05</f>
        <v>14.133000000000001</v>
      </c>
      <c r="G58">
        <v>14.13</v>
      </c>
    </row>
  </sheetData>
  <sheetProtection selectLockedCells="1" selectUnlockedCells="1"/>
  <mergeCells count="13">
    <mergeCell ref="A6:E6"/>
    <mergeCell ref="B8:E8"/>
    <mergeCell ref="B11:E11"/>
    <mergeCell ref="B17:E17"/>
    <mergeCell ref="A27:E27"/>
    <mergeCell ref="C1:E1"/>
    <mergeCell ref="A2:F2"/>
    <mergeCell ref="B29:E29"/>
    <mergeCell ref="B33:E33"/>
    <mergeCell ref="B36:E36"/>
    <mergeCell ref="B47:E47"/>
    <mergeCell ref="A49:E49"/>
    <mergeCell ref="A57:C57"/>
  </mergeCells>
  <pageMargins left="0.7" right="0.7" top="0.75" bottom="0.75" header="0.3" footer="0.3"/>
  <pageSetup paperSize="9" scale="91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75" zoomScaleNormal="75" workbookViewId="0">
      <selection activeCell="E18" sqref="E18"/>
    </sheetView>
  </sheetViews>
  <sheetFormatPr defaultColWidth="8.7109375" defaultRowHeight="12.75"/>
  <cols>
    <col min="1" max="1" width="17.5703125" customWidth="1"/>
    <col min="2" max="2" width="28.5703125" customWidth="1"/>
    <col min="3" max="3" width="20.140625" customWidth="1"/>
    <col min="4" max="4" width="11.28515625" customWidth="1"/>
    <col min="5" max="5" width="12.28515625" customWidth="1"/>
    <col min="6" max="6" width="19.85546875" customWidth="1"/>
    <col min="7" max="7" width="12" customWidth="1"/>
    <col min="8" max="8" width="12.140625" customWidth="1"/>
    <col min="9" max="9" width="19.85546875" customWidth="1"/>
    <col min="10" max="10" width="12.42578125" customWidth="1"/>
    <col min="11" max="11" width="11" customWidth="1"/>
    <col min="12" max="12" width="20.28515625" customWidth="1"/>
    <col min="13" max="13" width="12.5703125" customWidth="1"/>
    <col min="14" max="14" width="10.85546875" customWidth="1"/>
    <col min="15" max="15" width="18.7109375" customWidth="1"/>
    <col min="16" max="16" width="13" customWidth="1"/>
  </cols>
  <sheetData>
    <row r="1" spans="1:17">
      <c r="A1" s="821" t="s">
        <v>62</v>
      </c>
      <c r="B1" s="821"/>
      <c r="C1" s="821"/>
      <c r="D1" s="821"/>
      <c r="E1" s="821"/>
    </row>
    <row r="2" spans="1:17" s="10" customFormat="1" ht="24" customHeight="1">
      <c r="A2" s="10" t="s">
        <v>63</v>
      </c>
      <c r="B2" s="10" t="s">
        <v>64</v>
      </c>
      <c r="C2" s="10" t="s">
        <v>65</v>
      </c>
      <c r="D2" s="10" t="s">
        <v>66</v>
      </c>
    </row>
    <row r="3" spans="1:17">
      <c r="A3" s="822" t="s">
        <v>67</v>
      </c>
      <c r="B3" s="35" t="s">
        <v>68</v>
      </c>
      <c r="C3" s="35">
        <v>790</v>
      </c>
      <c r="D3" s="35">
        <v>1</v>
      </c>
    </row>
    <row r="4" spans="1:17">
      <c r="A4" s="822"/>
      <c r="B4" s="36" t="s">
        <v>52</v>
      </c>
      <c r="C4" s="36">
        <v>620</v>
      </c>
      <c r="D4" s="36">
        <v>2</v>
      </c>
    </row>
    <row r="5" spans="1:17">
      <c r="A5" s="822"/>
      <c r="B5" s="36" t="s">
        <v>69</v>
      </c>
      <c r="C5" s="36">
        <v>830</v>
      </c>
      <c r="D5" s="36">
        <v>3</v>
      </c>
    </row>
    <row r="6" spans="1:17">
      <c r="A6" s="822"/>
      <c r="B6" s="37" t="s">
        <v>70</v>
      </c>
      <c r="C6" s="37">
        <v>690</v>
      </c>
      <c r="D6" s="37">
        <v>4</v>
      </c>
    </row>
    <row r="7" spans="1:17">
      <c r="A7" s="822" t="s">
        <v>71</v>
      </c>
      <c r="B7" s="35" t="s">
        <v>69</v>
      </c>
      <c r="C7" s="35">
        <v>950</v>
      </c>
      <c r="D7" s="35">
        <v>5</v>
      </c>
    </row>
    <row r="8" spans="1:17">
      <c r="A8" s="822"/>
      <c r="B8" s="37" t="s">
        <v>70</v>
      </c>
      <c r="C8" s="37">
        <v>820</v>
      </c>
      <c r="D8" s="37">
        <v>6</v>
      </c>
    </row>
    <row r="9" spans="1:17">
      <c r="A9" s="38" t="s">
        <v>72</v>
      </c>
      <c r="B9" s="38" t="s">
        <v>70</v>
      </c>
      <c r="C9" s="38">
        <v>1050</v>
      </c>
      <c r="D9" s="38">
        <v>7</v>
      </c>
    </row>
    <row r="10" spans="1:17">
      <c r="A10" s="38" t="s">
        <v>73</v>
      </c>
      <c r="B10" s="38" t="s">
        <v>70</v>
      </c>
      <c r="C10" s="38">
        <v>1180</v>
      </c>
      <c r="D10" s="38">
        <v>8</v>
      </c>
    </row>
    <row r="13" spans="1:17" ht="13.5" customHeight="1">
      <c r="A13" s="823" t="s">
        <v>74</v>
      </c>
      <c r="B13" s="820" t="s">
        <v>75</v>
      </c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17"/>
    </row>
    <row r="14" spans="1:17">
      <c r="A14" s="823"/>
      <c r="B14" s="820" t="s">
        <v>76</v>
      </c>
      <c r="C14" s="820"/>
      <c r="D14" s="820"/>
      <c r="E14" s="820" t="s">
        <v>71</v>
      </c>
      <c r="F14" s="820"/>
      <c r="G14" s="820"/>
      <c r="H14" s="820" t="s">
        <v>77</v>
      </c>
      <c r="I14" s="820"/>
      <c r="J14" s="820"/>
      <c r="K14" s="820" t="s">
        <v>78</v>
      </c>
      <c r="L14" s="820"/>
      <c r="M14" s="820"/>
      <c r="N14" s="815" t="s">
        <v>79</v>
      </c>
      <c r="O14" s="815"/>
      <c r="P14" s="815"/>
      <c r="Q14" s="817"/>
    </row>
    <row r="15" spans="1:17">
      <c r="A15" s="823"/>
      <c r="B15" s="39" t="s">
        <v>80</v>
      </c>
      <c r="C15" s="39" t="s">
        <v>81</v>
      </c>
      <c r="D15" s="39" t="s">
        <v>82</v>
      </c>
      <c r="E15" s="39" t="s">
        <v>80</v>
      </c>
      <c r="F15" s="39" t="s">
        <v>81</v>
      </c>
      <c r="G15" s="39" t="s">
        <v>82</v>
      </c>
      <c r="H15" s="39" t="s">
        <v>80</v>
      </c>
      <c r="I15" s="39" t="s">
        <v>81</v>
      </c>
      <c r="J15" s="39" t="s">
        <v>82</v>
      </c>
      <c r="K15" s="39" t="s">
        <v>80</v>
      </c>
      <c r="L15" s="39" t="s">
        <v>81</v>
      </c>
      <c r="M15" s="39" t="s">
        <v>82</v>
      </c>
      <c r="N15" s="39" t="s">
        <v>80</v>
      </c>
      <c r="O15" s="39" t="s">
        <v>81</v>
      </c>
      <c r="P15" s="39" t="s">
        <v>82</v>
      </c>
      <c r="Q15" s="817"/>
    </row>
    <row r="16" spans="1:17">
      <c r="A16" s="816" t="s">
        <v>83</v>
      </c>
      <c r="B16" s="816"/>
      <c r="C16" s="816"/>
      <c r="D16" s="816"/>
      <c r="E16" s="816"/>
      <c r="F16" s="816"/>
      <c r="G16" s="816"/>
      <c r="H16" s="816"/>
      <c r="I16" s="816"/>
      <c r="J16" s="816"/>
      <c r="K16" s="816"/>
      <c r="L16" s="816"/>
      <c r="M16" s="816"/>
      <c r="N16" s="816"/>
      <c r="O16" s="816"/>
      <c r="P16" s="816"/>
      <c r="Q16" s="816"/>
    </row>
    <row r="17" spans="1:18" ht="27.2" customHeight="1">
      <c r="A17" s="40" t="s">
        <v>84</v>
      </c>
      <c r="B17" s="41">
        <v>460</v>
      </c>
      <c r="C17" s="41">
        <v>440</v>
      </c>
      <c r="D17" s="41">
        <v>430</v>
      </c>
      <c r="E17" s="41">
        <v>510</v>
      </c>
      <c r="F17" s="41">
        <v>490</v>
      </c>
      <c r="G17" s="41">
        <v>470</v>
      </c>
      <c r="H17" s="41">
        <v>530</v>
      </c>
      <c r="I17" s="41">
        <v>510</v>
      </c>
      <c r="J17" s="41">
        <v>490</v>
      </c>
      <c r="K17" s="41">
        <v>580</v>
      </c>
      <c r="L17" s="41">
        <v>560</v>
      </c>
      <c r="M17" s="41">
        <v>540</v>
      </c>
      <c r="N17" s="41">
        <v>640</v>
      </c>
      <c r="O17" s="41">
        <v>510</v>
      </c>
      <c r="P17" s="41">
        <v>490</v>
      </c>
      <c r="Q17" s="41">
        <v>1</v>
      </c>
    </row>
    <row r="18" spans="1:18">
      <c r="A18" s="38" t="s">
        <v>58</v>
      </c>
      <c r="B18" s="41">
        <v>480</v>
      </c>
      <c r="C18" s="41">
        <v>470</v>
      </c>
      <c r="D18" s="41">
        <v>460</v>
      </c>
      <c r="E18" s="42">
        <v>560</v>
      </c>
      <c r="F18" s="41">
        <v>550</v>
      </c>
      <c r="G18" s="41">
        <v>530</v>
      </c>
      <c r="H18" s="42">
        <v>560</v>
      </c>
      <c r="I18" s="41">
        <v>550</v>
      </c>
      <c r="J18" s="41">
        <v>530</v>
      </c>
      <c r="K18" s="41">
        <v>600</v>
      </c>
      <c r="L18" s="41">
        <v>600</v>
      </c>
      <c r="M18" s="41">
        <v>580</v>
      </c>
      <c r="N18" s="41">
        <v>670</v>
      </c>
      <c r="O18" s="41">
        <v>660</v>
      </c>
      <c r="P18" s="41">
        <v>640</v>
      </c>
      <c r="Q18" s="41">
        <v>2</v>
      </c>
      <c r="R18" s="43"/>
    </row>
    <row r="19" spans="1:18">
      <c r="A19" s="38" t="s">
        <v>85</v>
      </c>
      <c r="B19" s="41">
        <v>380</v>
      </c>
      <c r="C19" s="41">
        <v>370</v>
      </c>
      <c r="D19" s="41">
        <v>360</v>
      </c>
      <c r="E19" s="41">
        <v>500</v>
      </c>
      <c r="F19" s="41">
        <v>490</v>
      </c>
      <c r="G19" s="41">
        <v>460</v>
      </c>
      <c r="H19" s="41">
        <v>490</v>
      </c>
      <c r="I19" s="41">
        <v>480</v>
      </c>
      <c r="J19" s="41">
        <v>470</v>
      </c>
      <c r="K19" s="41">
        <v>530</v>
      </c>
      <c r="L19" s="41">
        <v>530</v>
      </c>
      <c r="M19" s="41">
        <v>510</v>
      </c>
      <c r="N19" s="41">
        <v>590</v>
      </c>
      <c r="O19" s="41">
        <v>580</v>
      </c>
      <c r="P19" s="41">
        <v>560</v>
      </c>
      <c r="Q19" s="41">
        <v>3</v>
      </c>
    </row>
    <row r="20" spans="1:18">
      <c r="A20" s="38"/>
      <c r="B20" s="41" t="s">
        <v>86</v>
      </c>
      <c r="C20" s="41" t="s">
        <v>87</v>
      </c>
      <c r="D20" s="41" t="s">
        <v>88</v>
      </c>
      <c r="E20" s="41" t="s">
        <v>89</v>
      </c>
      <c r="F20" s="41" t="s">
        <v>90</v>
      </c>
      <c r="G20" s="41" t="s">
        <v>91</v>
      </c>
      <c r="H20" s="41" t="s">
        <v>92</v>
      </c>
      <c r="I20" s="41" t="s">
        <v>93</v>
      </c>
      <c r="J20" s="41" t="s">
        <v>94</v>
      </c>
      <c r="K20" s="41" t="s">
        <v>95</v>
      </c>
      <c r="L20" s="41" t="s">
        <v>96</v>
      </c>
      <c r="M20" s="41" t="s">
        <v>97</v>
      </c>
      <c r="N20" s="41" t="s">
        <v>98</v>
      </c>
      <c r="O20" s="41" t="s">
        <v>99</v>
      </c>
      <c r="P20" s="41" t="s">
        <v>100</v>
      </c>
      <c r="Q20" s="38"/>
    </row>
    <row r="22" spans="1:18" ht="27.2" customHeight="1">
      <c r="A22" s="818" t="s">
        <v>101</v>
      </c>
      <c r="B22" s="819" t="s">
        <v>102</v>
      </c>
      <c r="C22" s="819"/>
      <c r="D22" s="819"/>
      <c r="E22" s="38" t="s">
        <v>66</v>
      </c>
    </row>
    <row r="23" spans="1:18">
      <c r="A23" s="818"/>
      <c r="B23" s="39">
        <v>1</v>
      </c>
      <c r="C23" s="39">
        <v>2</v>
      </c>
      <c r="D23" s="39">
        <v>3</v>
      </c>
      <c r="E23" s="38"/>
    </row>
    <row r="24" spans="1:18" ht="41.45" customHeight="1">
      <c r="A24" s="40" t="s">
        <v>103</v>
      </c>
      <c r="B24" s="38">
        <v>3630</v>
      </c>
      <c r="C24" s="38">
        <v>3080</v>
      </c>
      <c r="D24" s="38">
        <v>2500</v>
      </c>
      <c r="E24" s="38">
        <v>1</v>
      </c>
    </row>
    <row r="25" spans="1:18" ht="39" customHeight="1">
      <c r="A25" s="40" t="s">
        <v>104</v>
      </c>
      <c r="B25" s="38">
        <v>2860</v>
      </c>
      <c r="C25" s="38">
        <v>2420</v>
      </c>
      <c r="D25" s="38">
        <v>1850</v>
      </c>
      <c r="E25" s="38">
        <v>2</v>
      </c>
      <c r="F25" s="44"/>
    </row>
    <row r="26" spans="1:18">
      <c r="A26" s="40" t="s">
        <v>105</v>
      </c>
      <c r="B26" s="38">
        <v>2340</v>
      </c>
      <c r="C26" s="38">
        <v>1980</v>
      </c>
      <c r="D26" s="38">
        <v>1610</v>
      </c>
      <c r="E26" s="38">
        <v>3</v>
      </c>
    </row>
    <row r="27" spans="1:18">
      <c r="A27" s="40" t="s">
        <v>106</v>
      </c>
      <c r="B27" s="820">
        <v>30000</v>
      </c>
      <c r="C27" s="820"/>
      <c r="D27" s="820"/>
      <c r="E27" s="38">
        <v>4</v>
      </c>
    </row>
    <row r="28" spans="1:18">
      <c r="A28" s="38"/>
      <c r="B28" s="39" t="s">
        <v>107</v>
      </c>
      <c r="C28" s="39" t="s">
        <v>108</v>
      </c>
      <c r="D28" s="39" t="s">
        <v>109</v>
      </c>
      <c r="E28" s="39"/>
    </row>
  </sheetData>
  <sheetProtection selectLockedCells="1" selectUnlockedCells="1"/>
  <mergeCells count="15">
    <mergeCell ref="A1:E1"/>
    <mergeCell ref="A3:A6"/>
    <mergeCell ref="A7:A8"/>
    <mergeCell ref="A13:A15"/>
    <mergeCell ref="B13:P13"/>
    <mergeCell ref="B14:D14"/>
    <mergeCell ref="E14:G14"/>
    <mergeCell ref="H14:J14"/>
    <mergeCell ref="K14:M14"/>
    <mergeCell ref="N14:P14"/>
    <mergeCell ref="A16:Q16"/>
    <mergeCell ref="Q13:Q15"/>
    <mergeCell ref="A22:A23"/>
    <mergeCell ref="B22:D22"/>
    <mergeCell ref="B27:D2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5" sqref="B15"/>
    </sheetView>
  </sheetViews>
  <sheetFormatPr defaultRowHeight="12.75"/>
  <cols>
    <col min="1" max="1" width="35.42578125" customWidth="1"/>
    <col min="2" max="2" width="14.140625" customWidth="1"/>
  </cols>
  <sheetData>
    <row r="1" spans="1:5">
      <c r="A1" t="s">
        <v>110</v>
      </c>
      <c r="B1" s="4">
        <v>0</v>
      </c>
    </row>
    <row r="2" spans="1:5">
      <c r="A2" t="s">
        <v>111</v>
      </c>
      <c r="B2" s="4">
        <v>0</v>
      </c>
    </row>
    <row r="3" spans="1:5">
      <c r="A3" t="s">
        <v>112</v>
      </c>
      <c r="B3" s="4">
        <v>0.20200000000000001</v>
      </c>
    </row>
    <row r="4" spans="1:5">
      <c r="A4" s="10" t="s">
        <v>113</v>
      </c>
      <c r="B4">
        <v>1970</v>
      </c>
    </row>
    <row r="5" spans="1:5">
      <c r="A5" s="10" t="s">
        <v>114</v>
      </c>
      <c r="B5">
        <v>247</v>
      </c>
    </row>
    <row r="6" spans="1:5">
      <c r="A6" t="s">
        <v>115</v>
      </c>
      <c r="B6">
        <v>10683</v>
      </c>
    </row>
    <row r="7" spans="1:5">
      <c r="A7" t="s">
        <v>116</v>
      </c>
      <c r="B7">
        <v>41604</v>
      </c>
    </row>
    <row r="8" spans="1:5" ht="25.5">
      <c r="A8" s="10" t="s">
        <v>117</v>
      </c>
      <c r="B8">
        <v>3.62</v>
      </c>
    </row>
    <row r="9" spans="1:5" ht="25.5">
      <c r="A9" s="10" t="s">
        <v>118</v>
      </c>
      <c r="B9">
        <v>2.5299999999999998</v>
      </c>
    </row>
    <row r="10" spans="1:5">
      <c r="A10" s="10" t="s">
        <v>119</v>
      </c>
      <c r="B10" s="6">
        <v>0.36849488000000002</v>
      </c>
    </row>
    <row r="11" spans="1:5">
      <c r="A11" s="10" t="s">
        <v>120</v>
      </c>
      <c r="B11" s="6">
        <v>4.7650200000000011E-2</v>
      </c>
    </row>
    <row r="12" spans="1:5">
      <c r="A12" s="10" t="s">
        <v>121</v>
      </c>
      <c r="B12" s="45">
        <v>22</v>
      </c>
    </row>
    <row r="13" spans="1:5">
      <c r="A13" s="10" t="s">
        <v>122</v>
      </c>
      <c r="B13" s="45">
        <v>48.66</v>
      </c>
    </row>
    <row r="14" spans="1:5">
      <c r="A14" s="10" t="s">
        <v>123</v>
      </c>
      <c r="B14" s="46">
        <v>700000</v>
      </c>
      <c r="E14" s="6">
        <f>B14/B7/12</f>
        <v>1.4021087715924752</v>
      </c>
    </row>
    <row r="15" spans="1:5">
      <c r="A15" s="10" t="s">
        <v>124</v>
      </c>
      <c r="B15" s="47">
        <f>1.61*('Исх. дан.'!D7+'Исх. дан.'!D14)</f>
        <v>273.7</v>
      </c>
    </row>
    <row r="16" spans="1:5">
      <c r="A16" s="10" t="s">
        <v>125</v>
      </c>
      <c r="B16">
        <v>12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9" sqref="I9"/>
    </sheetView>
  </sheetViews>
  <sheetFormatPr defaultRowHeight="12.75"/>
  <cols>
    <col min="1" max="1" width="21.5703125" customWidth="1"/>
    <col min="2" max="2" width="9.140625" customWidth="1"/>
    <col min="3" max="3" width="16.7109375" customWidth="1"/>
    <col min="4" max="4" width="9.140625" customWidth="1"/>
    <col min="5" max="5" width="13.7109375" customWidth="1"/>
    <col min="6" max="6" width="10.85546875" customWidth="1"/>
    <col min="7" max="7" width="12.85546875" customWidth="1"/>
    <col min="8" max="8" width="11.28515625" customWidth="1"/>
  </cols>
  <sheetData>
    <row r="1" spans="1:8" s="10" customFormat="1" ht="38.25">
      <c r="A1" s="8" t="s">
        <v>126</v>
      </c>
      <c r="B1" s="8" t="s">
        <v>127</v>
      </c>
      <c r="C1" s="8" t="s">
        <v>128</v>
      </c>
      <c r="D1" s="8" t="s">
        <v>129</v>
      </c>
      <c r="E1" s="18" t="s">
        <v>130</v>
      </c>
      <c r="F1" s="18" t="s">
        <v>131</v>
      </c>
      <c r="G1" s="18" t="s">
        <v>132</v>
      </c>
      <c r="H1" s="18" t="s">
        <v>133</v>
      </c>
    </row>
    <row r="2" spans="1:8">
      <c r="A2" s="1" t="s">
        <v>134</v>
      </c>
      <c r="B2" s="1">
        <v>14172</v>
      </c>
      <c r="C2" s="1">
        <f>B2*('Постоянные конст'!$B$2+1)</f>
        <v>14172</v>
      </c>
      <c r="D2" s="48">
        <v>0.5</v>
      </c>
      <c r="E2" s="49">
        <f>'[2]Постоянные конст'!$B$4</f>
        <v>0.20200000000000001</v>
      </c>
      <c r="F2" s="5">
        <f t="shared" ref="F2:F10" si="0">ROUND(C2*(1+D2)*(E2+1)*1.12,2)</f>
        <v>28618.37</v>
      </c>
      <c r="G2" s="5">
        <f t="shared" ref="G2:G10" si="1">ROUND(F2*12,2)</f>
        <v>343420.44</v>
      </c>
      <c r="H2" s="5">
        <f>ROUND(G2/'[2]Постоянные конст'!$B$5,2)</f>
        <v>174.33</v>
      </c>
    </row>
    <row r="3" spans="1:8">
      <c r="A3" s="1" t="s">
        <v>135</v>
      </c>
      <c r="B3" s="1">
        <v>12884</v>
      </c>
      <c r="C3" s="1">
        <f>B3*('Постоянные конст'!$B$2+1)</f>
        <v>12884</v>
      </c>
      <c r="D3" s="48">
        <v>0.5</v>
      </c>
      <c r="E3" s="49">
        <f>'[2]Постоянные конст'!$B$4</f>
        <v>0.20200000000000001</v>
      </c>
      <c r="F3" s="5">
        <f t="shared" si="0"/>
        <v>26017.43</v>
      </c>
      <c r="G3" s="5">
        <f t="shared" si="1"/>
        <v>312209.15999999997</v>
      </c>
      <c r="H3" s="5">
        <f>ROUND(G3/'[2]Постоянные конст'!$B$5,2)</f>
        <v>158.47999999999999</v>
      </c>
    </row>
    <row r="4" spans="1:8">
      <c r="A4" s="1" t="s">
        <v>136</v>
      </c>
      <c r="B4" s="1">
        <v>12884</v>
      </c>
      <c r="C4" s="1">
        <f>B4*('Постоянные конст'!$B$2+1)</f>
        <v>12884</v>
      </c>
      <c r="D4" s="48">
        <v>0.5</v>
      </c>
      <c r="E4" s="49">
        <f>'[2]Постоянные конст'!$B$4</f>
        <v>0.20200000000000001</v>
      </c>
      <c r="F4" s="5">
        <f t="shared" si="0"/>
        <v>26017.43</v>
      </c>
      <c r="G4" s="5">
        <f t="shared" si="1"/>
        <v>312209.15999999997</v>
      </c>
      <c r="H4" s="5">
        <f>ROUND(G4/'[2]Постоянные конст'!$B$5,2)</f>
        <v>158.47999999999999</v>
      </c>
    </row>
    <row r="5" spans="1:8">
      <c r="A5" s="1" t="s">
        <v>137</v>
      </c>
      <c r="B5" s="1">
        <v>12884</v>
      </c>
      <c r="C5" s="1">
        <f>B5*('Постоянные конст'!$B$2+1)</f>
        <v>12884</v>
      </c>
      <c r="D5" s="48">
        <v>0.5</v>
      </c>
      <c r="E5" s="49">
        <f>'[2]Постоянные конст'!$B$4</f>
        <v>0.20200000000000001</v>
      </c>
      <c r="F5" s="5">
        <f t="shared" si="0"/>
        <v>26017.43</v>
      </c>
      <c r="G5" s="5">
        <f t="shared" si="1"/>
        <v>312209.15999999997</v>
      </c>
      <c r="H5" s="5">
        <f>ROUND(G5/'[2]Постоянные конст'!$B$5,2)</f>
        <v>158.47999999999999</v>
      </c>
    </row>
    <row r="6" spans="1:8">
      <c r="A6" s="1" t="s">
        <v>138</v>
      </c>
      <c r="B6" s="1">
        <v>13079</v>
      </c>
      <c r="C6" s="1">
        <f>B6*('Постоянные конст'!$B$2+1)</f>
        <v>13079</v>
      </c>
      <c r="D6" s="48">
        <v>0.5</v>
      </c>
      <c r="E6" s="49">
        <f>'[2]Постоянные конст'!$B$4</f>
        <v>0.20200000000000001</v>
      </c>
      <c r="F6" s="5">
        <f t="shared" si="0"/>
        <v>26411.21</v>
      </c>
      <c r="G6" s="5">
        <f t="shared" si="1"/>
        <v>316934.52</v>
      </c>
      <c r="H6" s="5">
        <f>ROUND(G6/'[2]Постоянные конст'!$B$5,2)</f>
        <v>160.88</v>
      </c>
    </row>
    <row r="7" spans="1:8">
      <c r="A7" s="1" t="s">
        <v>139</v>
      </c>
      <c r="B7" s="1">
        <v>10307</v>
      </c>
      <c r="C7" s="1">
        <f>B7*('Постоянные конст'!$B$2+1)</f>
        <v>10307</v>
      </c>
      <c r="D7" s="48">
        <v>0.5</v>
      </c>
      <c r="E7" s="49">
        <f>'[2]Постоянные конст'!$B$4</f>
        <v>0.20200000000000001</v>
      </c>
      <c r="F7" s="5">
        <f t="shared" si="0"/>
        <v>20813.54</v>
      </c>
      <c r="G7" s="5">
        <f t="shared" si="1"/>
        <v>249762.48</v>
      </c>
      <c r="H7" s="5">
        <f>ROUND(G7/'[2]Постоянные конст'!$B$5,2)</f>
        <v>126.78</v>
      </c>
    </row>
    <row r="8" spans="1:8">
      <c r="A8" s="1" t="s">
        <v>140</v>
      </c>
      <c r="B8" s="1">
        <v>12884</v>
      </c>
      <c r="C8" s="1">
        <f>B8*('Постоянные конст'!$B$2+1)</f>
        <v>12884</v>
      </c>
      <c r="D8" s="48">
        <v>0.5</v>
      </c>
      <c r="E8" s="49">
        <f>'[2]Постоянные конст'!$B$4</f>
        <v>0.20200000000000001</v>
      </c>
      <c r="F8" s="5">
        <f t="shared" si="0"/>
        <v>26017.43</v>
      </c>
      <c r="G8" s="5">
        <f t="shared" si="1"/>
        <v>312209.15999999997</v>
      </c>
      <c r="H8" s="5">
        <f>ROUND(G8/'[2]Постоянные конст'!$B$5,2)</f>
        <v>158.47999999999999</v>
      </c>
    </row>
    <row r="9" spans="1:8">
      <c r="A9" s="1" t="s">
        <v>141</v>
      </c>
      <c r="B9" s="1">
        <v>14641</v>
      </c>
      <c r="C9" s="1">
        <f>B9*('Постоянные конст'!$B$2+1)</f>
        <v>14641</v>
      </c>
      <c r="D9" s="48">
        <v>0.5</v>
      </c>
      <c r="E9" s="49">
        <f>'[2]Постоянные конст'!$B$4</f>
        <v>0.20200000000000001</v>
      </c>
      <c r="F9" s="5">
        <f t="shared" si="0"/>
        <v>29565.45</v>
      </c>
      <c r="G9" s="5">
        <f t="shared" si="1"/>
        <v>354785.4</v>
      </c>
      <c r="H9" s="5">
        <f>ROUND(G9/'[2]Постоянные конст'!$B$5,2)</f>
        <v>180.09</v>
      </c>
    </row>
    <row r="10" spans="1:8">
      <c r="A10" s="1" t="s">
        <v>142</v>
      </c>
      <c r="B10" s="1">
        <v>12884</v>
      </c>
      <c r="C10" s="1">
        <f>B10*('Постоянные конст'!$B$2+1)</f>
        <v>12884</v>
      </c>
      <c r="D10" s="48">
        <v>0.5</v>
      </c>
      <c r="E10" s="49">
        <f>'[2]Постоянные конст'!$B$4</f>
        <v>0.20200000000000001</v>
      </c>
      <c r="F10" s="5">
        <f t="shared" si="0"/>
        <v>26017.43</v>
      </c>
      <c r="G10" s="5">
        <f t="shared" si="1"/>
        <v>312209.15999999997</v>
      </c>
      <c r="H10" s="5">
        <f>ROUND(G10/'[2]Постоянные конст'!$B$5,2)</f>
        <v>158.47999999999999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zoomScale="70" zoomScaleNormal="70" workbookViewId="0">
      <selection activeCell="H32" sqref="H32"/>
    </sheetView>
  </sheetViews>
  <sheetFormatPr defaultColWidth="8.7109375" defaultRowHeight="12.75"/>
  <cols>
    <col min="1" max="1" width="42" customWidth="1"/>
    <col min="2" max="2" width="17.28515625" customWidth="1"/>
    <col min="3" max="3" width="16.5703125" customWidth="1"/>
  </cols>
  <sheetData>
    <row r="1" spans="1:3" ht="30">
      <c r="A1" s="50" t="s">
        <v>143</v>
      </c>
      <c r="B1" s="51" t="s">
        <v>144</v>
      </c>
      <c r="C1" s="52" t="s">
        <v>145</v>
      </c>
    </row>
    <row r="2" spans="1:3" ht="14.25" hidden="1">
      <c r="A2" s="53" t="s">
        <v>146</v>
      </c>
      <c r="B2" s="53">
        <v>563.01</v>
      </c>
      <c r="C2" s="53">
        <f>ROUND(B2*(1+'Постоянные конст'!$B$1),2)</f>
        <v>563.01</v>
      </c>
    </row>
    <row r="3" spans="1:3" ht="14.25" hidden="1">
      <c r="A3" s="54" t="s">
        <v>147</v>
      </c>
      <c r="B3" s="54">
        <v>120.65</v>
      </c>
      <c r="C3" s="53">
        <f>ROUND(B3*(1+'Постоянные конст'!$B$1),2)</f>
        <v>120.65</v>
      </c>
    </row>
    <row r="4" spans="1:3" ht="14.25" hidden="1">
      <c r="A4" s="54" t="s">
        <v>148</v>
      </c>
      <c r="B4" s="54">
        <v>79.97</v>
      </c>
      <c r="C4" s="53">
        <f>ROUND(B4*(1+'Постоянные конст'!$B$1),2)</f>
        <v>79.97</v>
      </c>
    </row>
    <row r="5" spans="1:3" ht="14.25" hidden="1">
      <c r="A5" s="54" t="s">
        <v>149</v>
      </c>
      <c r="B5" s="54">
        <v>76.41</v>
      </c>
      <c r="C5" s="53">
        <f>ROUND(B5*(1+'Постоянные конст'!$B$1),2)</f>
        <v>76.41</v>
      </c>
    </row>
    <row r="6" spans="1:3" ht="14.25" hidden="1">
      <c r="A6" s="54" t="s">
        <v>150</v>
      </c>
      <c r="B6" s="54">
        <v>159.47999999999999</v>
      </c>
      <c r="C6" s="53">
        <f>ROUND(B6*(1+'Постоянные конст'!$B$1),2)</f>
        <v>159.47999999999999</v>
      </c>
    </row>
    <row r="7" spans="1:3" ht="14.25" hidden="1">
      <c r="A7" s="54" t="s">
        <v>151</v>
      </c>
      <c r="B7" s="54">
        <v>44.24</v>
      </c>
      <c r="C7" s="53">
        <f>ROUND(B7*(1+'Постоянные конст'!$B$1),2)</f>
        <v>44.24</v>
      </c>
    </row>
    <row r="8" spans="1:3" ht="14.25" hidden="1">
      <c r="A8" s="54" t="s">
        <v>152</v>
      </c>
      <c r="B8" s="54">
        <v>2298</v>
      </c>
      <c r="C8" s="53">
        <f>ROUND(B8*(1+'Постоянные конст'!$B$1),2)</f>
        <v>2298</v>
      </c>
    </row>
    <row r="9" spans="1:3" ht="14.25" hidden="1">
      <c r="A9" s="54" t="s">
        <v>153</v>
      </c>
      <c r="B9" s="54">
        <v>116.05</v>
      </c>
      <c r="C9" s="53">
        <f>ROUND(B9*(1+'Постоянные конст'!$B$1),2)</f>
        <v>116.05</v>
      </c>
    </row>
    <row r="10" spans="1:3" ht="14.25" hidden="1">
      <c r="A10" s="54" t="s">
        <v>154</v>
      </c>
      <c r="B10" s="54">
        <v>179.24</v>
      </c>
      <c r="C10" s="53">
        <f>ROUND(B10*(1+'Постоянные конст'!$B$1),2)</f>
        <v>179.24</v>
      </c>
    </row>
    <row r="11" spans="1:3" ht="14.25" hidden="1">
      <c r="A11" s="54" t="s">
        <v>155</v>
      </c>
      <c r="B11" s="54">
        <v>259.89999999999998</v>
      </c>
      <c r="C11" s="53">
        <f>ROUND(B11*(1+'Постоянные конст'!$B$1),2)</f>
        <v>259.89999999999998</v>
      </c>
    </row>
    <row r="12" spans="1:3" ht="14.25" hidden="1">
      <c r="A12" s="55" t="s">
        <v>156</v>
      </c>
      <c r="B12" s="54">
        <v>111.45</v>
      </c>
      <c r="C12" s="53">
        <f>ROUND(B12*(1+'Постоянные конст'!$B$1),2)</f>
        <v>111.45</v>
      </c>
    </row>
    <row r="13" spans="1:3" ht="14.25" hidden="1">
      <c r="A13" s="54" t="s">
        <v>157</v>
      </c>
      <c r="B13" s="54">
        <v>15.51</v>
      </c>
      <c r="C13" s="53">
        <f>ROUND(B13*(1+'Постоянные конст'!$B$1),2)</f>
        <v>15.51</v>
      </c>
    </row>
    <row r="14" spans="1:3" ht="14.25" hidden="1">
      <c r="A14" s="54" t="s">
        <v>158</v>
      </c>
      <c r="B14" s="54">
        <v>838.76</v>
      </c>
      <c r="C14" s="53">
        <f>ROUND(B14*(1+'Постоянные конст'!$B$1),2)</f>
        <v>838.76</v>
      </c>
    </row>
    <row r="15" spans="1:3" ht="14.25" hidden="1">
      <c r="A15" s="54" t="s">
        <v>159</v>
      </c>
      <c r="B15" s="54">
        <v>448.11</v>
      </c>
      <c r="C15" s="53">
        <f>ROUND(B15*(1+'Постоянные конст'!$B$1),2)</f>
        <v>448.11</v>
      </c>
    </row>
    <row r="16" spans="1:3" ht="14.25" hidden="1">
      <c r="A16" s="54" t="s">
        <v>160</v>
      </c>
      <c r="B16" s="54">
        <v>213.71</v>
      </c>
      <c r="C16" s="53">
        <f>ROUND(B16*(1+'Постоянные конст'!$B$1),2)</f>
        <v>213.71</v>
      </c>
    </row>
    <row r="17" spans="1:3" ht="14.25" hidden="1">
      <c r="A17" s="54" t="s">
        <v>161</v>
      </c>
      <c r="B17" s="54">
        <v>72.27</v>
      </c>
      <c r="C17" s="53">
        <f>ROUND(B17*(1+'Постоянные конст'!$B$1),2)</f>
        <v>72.27</v>
      </c>
    </row>
    <row r="18" spans="1:3" ht="14.25" hidden="1">
      <c r="A18" s="56" t="s">
        <v>162</v>
      </c>
      <c r="B18" s="56">
        <v>48.26</v>
      </c>
      <c r="C18" s="53">
        <f>ROUND(B18*(1+'Постоянные конст'!$B$1),2)</f>
        <v>48.26</v>
      </c>
    </row>
    <row r="19" spans="1:3" ht="15" hidden="1">
      <c r="A19" s="50" t="s">
        <v>163</v>
      </c>
      <c r="B19" s="57"/>
      <c r="C19" s="58"/>
    </row>
    <row r="20" spans="1:3" ht="16.5" hidden="1">
      <c r="A20" s="53" t="s">
        <v>164</v>
      </c>
      <c r="B20" s="53">
        <v>315</v>
      </c>
      <c r="C20" s="53">
        <f>ROUND(B20*(1+'Постоянные конст'!$B$1),2)</f>
        <v>315</v>
      </c>
    </row>
    <row r="21" spans="1:3" ht="14.25" hidden="1">
      <c r="A21" s="54" t="s">
        <v>165</v>
      </c>
      <c r="B21" s="54">
        <v>7704.08</v>
      </c>
      <c r="C21" s="53">
        <f>ROUND(B21*(1+'Постоянные конст'!$B$1),2)</f>
        <v>7704.08</v>
      </c>
    </row>
    <row r="22" spans="1:3" s="22" customFormat="1" ht="14.25" hidden="1">
      <c r="A22" s="59" t="s">
        <v>166</v>
      </c>
      <c r="B22" s="59">
        <f>B20+B20*0.025+250*1.031</f>
        <v>580.625</v>
      </c>
      <c r="C22" s="53">
        <f>ROUND(B22*(1+'Постоянные конст'!$B$1),2)</f>
        <v>580.63</v>
      </c>
    </row>
    <row r="23" spans="1:3" ht="14.25" hidden="1">
      <c r="A23" s="54" t="s">
        <v>167</v>
      </c>
      <c r="B23" s="54">
        <v>53.76</v>
      </c>
      <c r="C23" s="53">
        <f>ROUND(B23*(1+'Постоянные конст'!$B$1),2)</f>
        <v>53.76</v>
      </c>
    </row>
    <row r="24" spans="1:3" ht="14.25" hidden="1">
      <c r="A24" s="54" t="s">
        <v>168</v>
      </c>
      <c r="B24" s="54">
        <v>48.61</v>
      </c>
      <c r="C24" s="53">
        <f>ROUND(B24*(1+'Постоянные конст'!$B$1),2)</f>
        <v>48.61</v>
      </c>
    </row>
    <row r="25" spans="1:3" ht="14.25" hidden="1">
      <c r="A25" s="54" t="s">
        <v>169</v>
      </c>
      <c r="B25" s="54">
        <v>74.06</v>
      </c>
      <c r="C25" s="53">
        <f>ROUND(B25*(1+'Постоянные конст'!$B$1),2)</f>
        <v>74.06</v>
      </c>
    </row>
    <row r="26" spans="1:3" ht="14.25" hidden="1">
      <c r="A26" s="54" t="s">
        <v>170</v>
      </c>
      <c r="B26" s="54">
        <v>45.2</v>
      </c>
      <c r="C26" s="53">
        <f>ROUND(B26*(1+'Постоянные конст'!$B$1),2)</f>
        <v>45.2</v>
      </c>
    </row>
    <row r="27" spans="1:3" ht="14.25" hidden="1">
      <c r="A27" s="54" t="s">
        <v>171</v>
      </c>
      <c r="B27" s="54">
        <v>26</v>
      </c>
      <c r="C27" s="53">
        <f>ROUND(B27*(1+'Постоянные конст'!$B$1),2)</f>
        <v>26</v>
      </c>
    </row>
    <row r="28" spans="1:3" ht="14.25">
      <c r="A28" s="56" t="s">
        <v>172</v>
      </c>
      <c r="B28" s="56">
        <v>72.7</v>
      </c>
      <c r="C28" s="53">
        <f>ROUND(B28*(1+'Постоянные конст'!$B$1),2)</f>
        <v>72.7</v>
      </c>
    </row>
    <row r="29" spans="1:3" ht="14.25">
      <c r="A29" s="56" t="s">
        <v>173</v>
      </c>
      <c r="B29" s="56">
        <v>13.91</v>
      </c>
      <c r="C29" s="53">
        <f>ROUND(B29*(1+'Постоянные конст'!$B$1),2)</f>
        <v>13.91</v>
      </c>
    </row>
    <row r="30" spans="1:3" ht="15">
      <c r="A30" s="60" t="s">
        <v>174</v>
      </c>
      <c r="B30" s="51"/>
      <c r="C30" s="58"/>
    </row>
    <row r="31" spans="1:3" ht="14.25">
      <c r="A31" s="61" t="s">
        <v>175</v>
      </c>
      <c r="B31" s="53">
        <v>721</v>
      </c>
      <c r="C31" s="53">
        <f>ROUND(B31*(1+'Постоянные конст'!$B$1),2)</f>
        <v>721</v>
      </c>
    </row>
    <row r="32" spans="1:3" ht="14.25">
      <c r="A32" s="62" t="s">
        <v>176</v>
      </c>
      <c r="B32" s="54">
        <v>340</v>
      </c>
      <c r="C32" s="53">
        <f>ROUND(B32*(1+'Постоянные конст'!$B$1),2)</f>
        <v>340</v>
      </c>
    </row>
    <row r="33" spans="1:3" ht="14.25">
      <c r="A33" s="63" t="s">
        <v>177</v>
      </c>
      <c r="B33" s="64">
        <v>1039.8900000000001</v>
      </c>
      <c r="C33" s="53">
        <f>ROUND(B33*(1+'Постоянные конст'!$B$1),2)</f>
        <v>1039.8900000000001</v>
      </c>
    </row>
    <row r="34" spans="1:3" ht="14.25">
      <c r="A34" s="63" t="s">
        <v>178</v>
      </c>
      <c r="B34" s="54">
        <v>280</v>
      </c>
      <c r="C34" s="53">
        <f>ROUND(B34*(1+'Постоянные конст'!$B$1),2)</f>
        <v>280</v>
      </c>
    </row>
    <row r="35" spans="1:3" ht="14.25">
      <c r="A35" s="63" t="s">
        <v>179</v>
      </c>
      <c r="B35" s="54">
        <v>15.57</v>
      </c>
      <c r="C35" s="53">
        <f>ROUND(B35*(1+'Постоянные конст'!$B$1),2)</f>
        <v>15.57</v>
      </c>
    </row>
    <row r="36" spans="1:3" ht="14.25">
      <c r="A36" s="63" t="s">
        <v>180</v>
      </c>
      <c r="B36" s="54">
        <v>21</v>
      </c>
      <c r="C36" s="53">
        <f>ROUND(B36*(1+'Постоянные конст'!$B$1),2)</f>
        <v>21</v>
      </c>
    </row>
    <row r="37" spans="1:3" ht="14.25">
      <c r="A37" s="63" t="s">
        <v>181</v>
      </c>
      <c r="B37" s="54">
        <v>280</v>
      </c>
      <c r="C37" s="53">
        <f>ROUND(B37*(1+'Постоянные конст'!$B$1),2)</f>
        <v>280</v>
      </c>
    </row>
    <row r="38" spans="1:3" ht="14.25">
      <c r="A38" s="63" t="s">
        <v>182</v>
      </c>
      <c r="B38" s="54">
        <v>105</v>
      </c>
      <c r="C38" s="53">
        <f>ROUND(B38*(1+'Постоянные конст'!$B$1),2)</f>
        <v>105</v>
      </c>
    </row>
    <row r="39" spans="1:3" ht="14.25">
      <c r="A39" s="63" t="s">
        <v>183</v>
      </c>
      <c r="B39" s="54">
        <v>1366</v>
      </c>
      <c r="C39" s="53">
        <f>ROUND(B39*(1+'Постоянные конст'!$B$1),2)</f>
        <v>1366</v>
      </c>
    </row>
    <row r="40" spans="1:3" ht="14.25">
      <c r="A40" s="63" t="s">
        <v>184</v>
      </c>
      <c r="B40" s="54">
        <v>600</v>
      </c>
      <c r="C40" s="53">
        <f>ROUND(B40*(1+'Постоянные конст'!$B$1),2)</f>
        <v>600</v>
      </c>
    </row>
    <row r="41" spans="1:3" ht="14.25">
      <c r="A41" s="63" t="s">
        <v>185</v>
      </c>
      <c r="B41" s="54">
        <v>69</v>
      </c>
      <c r="C41" s="53">
        <f>ROUND(B41*(1+'Постоянные конст'!$B$1),2)</f>
        <v>69</v>
      </c>
    </row>
    <row r="42" spans="1:3" ht="14.25">
      <c r="A42" s="63" t="s">
        <v>186</v>
      </c>
      <c r="B42" s="54">
        <v>142.13999999999999</v>
      </c>
      <c r="C42" s="53">
        <f>ROUND(B42*(1+'Постоянные конст'!$B$1),2)</f>
        <v>142.13999999999999</v>
      </c>
    </row>
    <row r="43" spans="1:3" ht="14.25">
      <c r="A43" s="63" t="s">
        <v>187</v>
      </c>
      <c r="B43" s="54">
        <v>521.17999999999995</v>
      </c>
      <c r="C43" s="53">
        <f>ROUND(B43*(1+'Постоянные конст'!$B$1),2)</f>
        <v>521.17999999999995</v>
      </c>
    </row>
    <row r="44" spans="1:3" ht="42.75">
      <c r="A44" s="62" t="s">
        <v>188</v>
      </c>
      <c r="B44" s="54">
        <v>733.83</v>
      </c>
      <c r="C44" s="53">
        <f>ROUND(B44*(1+'Постоянные конст'!$B$1),2)</f>
        <v>733.83</v>
      </c>
    </row>
    <row r="45" spans="1:3" ht="14.25">
      <c r="A45" s="63" t="s">
        <v>189</v>
      </c>
      <c r="B45" s="54">
        <v>800</v>
      </c>
      <c r="C45" s="53">
        <f>ROUND(B45*(1+'Постоянные конст'!$B$1),2)</f>
        <v>800</v>
      </c>
    </row>
    <row r="46" spans="1:3" ht="14.25">
      <c r="A46" s="63" t="s">
        <v>190</v>
      </c>
      <c r="B46" s="54">
        <v>73.34</v>
      </c>
      <c r="C46" s="53">
        <f>ROUND(B46*(1+'Постоянные конст'!$B$1),2)</f>
        <v>73.34</v>
      </c>
    </row>
    <row r="47" spans="1:3" ht="14.25">
      <c r="A47" s="63" t="s">
        <v>191</v>
      </c>
      <c r="B47" s="54">
        <v>49.97</v>
      </c>
      <c r="C47" s="53">
        <f>ROUND(B47*(1+'Постоянные конст'!$B$1),2)</f>
        <v>49.97</v>
      </c>
    </row>
    <row r="48" spans="1:3" ht="28.5">
      <c r="A48" s="62" t="s">
        <v>192</v>
      </c>
      <c r="B48" s="54">
        <v>1500</v>
      </c>
      <c r="C48" s="53">
        <f>ROUND(B48*(1+'Постоянные конст'!$B$1),2)</f>
        <v>1500</v>
      </c>
    </row>
    <row r="49" spans="1:3" ht="14.25">
      <c r="A49" s="63" t="s">
        <v>193</v>
      </c>
      <c r="B49" s="54">
        <v>366.41</v>
      </c>
      <c r="C49" s="53">
        <f>ROUND(B49*(1+'Постоянные конст'!$B$1),2)</f>
        <v>366.41</v>
      </c>
    </row>
    <row r="50" spans="1:3" ht="14.25">
      <c r="A50" s="63" t="s">
        <v>194</v>
      </c>
      <c r="B50" s="54">
        <v>1297</v>
      </c>
      <c r="C50" s="53">
        <f>ROUND(B50*(1+'Постоянные конст'!$B$1),2)</f>
        <v>1297</v>
      </c>
    </row>
    <row r="51" spans="1:3" ht="14.25">
      <c r="A51" s="63" t="s">
        <v>195</v>
      </c>
      <c r="B51" s="54">
        <v>272.95</v>
      </c>
      <c r="C51" s="53">
        <f>ROUND(B51*(1+'Постоянные конст'!$B$1),2)</f>
        <v>272.95</v>
      </c>
    </row>
    <row r="52" spans="1:3" ht="14.25">
      <c r="A52" s="63" t="s">
        <v>196</v>
      </c>
      <c r="B52" s="54">
        <v>28.02</v>
      </c>
      <c r="C52" s="53">
        <f>ROUND(B52*(1+'Постоянные конст'!$B$1),2)</f>
        <v>28.02</v>
      </c>
    </row>
    <row r="53" spans="1:3" ht="14.25">
      <c r="A53" s="63" t="s">
        <v>197</v>
      </c>
      <c r="B53" s="54">
        <v>175.1</v>
      </c>
      <c r="C53" s="53">
        <f>ROUND(B53*(1+'Постоянные конст'!$B$1),2)</f>
        <v>175.1</v>
      </c>
    </row>
    <row r="54" spans="1:3" ht="14.25">
      <c r="A54" s="63" t="s">
        <v>198</v>
      </c>
      <c r="B54" s="54">
        <v>295</v>
      </c>
      <c r="C54" s="53">
        <f>ROUND(B54*(1+'Постоянные конст'!$B$1),2)</f>
        <v>295</v>
      </c>
    </row>
    <row r="55" spans="1:3" ht="14.25">
      <c r="A55" s="63" t="s">
        <v>199</v>
      </c>
      <c r="B55" s="54">
        <v>68.64</v>
      </c>
      <c r="C55" s="53">
        <f>ROUND(B55*(1+'Постоянные конст'!$B$1),2)</f>
        <v>68.64</v>
      </c>
    </row>
    <row r="56" spans="1:3" ht="14.25">
      <c r="A56" s="63" t="s">
        <v>200</v>
      </c>
      <c r="B56" s="54">
        <v>121.89</v>
      </c>
      <c r="C56" s="53">
        <f>ROUND(B56*(1+'Постоянные конст'!$B$1),2)</f>
        <v>121.89</v>
      </c>
    </row>
    <row r="57" spans="1:3" ht="14.25">
      <c r="A57" s="63" t="s">
        <v>201</v>
      </c>
      <c r="B57" s="54">
        <v>2213</v>
      </c>
      <c r="C57" s="53">
        <f>ROUND(B57*(1+'Постоянные конст'!$B$1),2)</f>
        <v>2213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fitToWidth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0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15" sqref="K115"/>
    </sheetView>
  </sheetViews>
  <sheetFormatPr defaultColWidth="8.7109375" defaultRowHeight="12.75"/>
  <cols>
    <col min="1" max="1" width="25.42578125" style="65" customWidth="1"/>
    <col min="2" max="2" width="16" style="66" customWidth="1"/>
    <col min="3" max="3" width="7.140625" style="65" customWidth="1"/>
    <col min="4" max="6" width="8.85546875" style="65" customWidth="1"/>
    <col min="7" max="7" width="8.7109375" style="65" customWidth="1"/>
    <col min="8" max="8" width="12.7109375" style="65" customWidth="1"/>
    <col min="9" max="9" width="9.28515625" style="65" customWidth="1"/>
    <col min="10" max="10" width="10" style="65" customWidth="1"/>
    <col min="11" max="11" width="13.85546875" style="65" customWidth="1"/>
    <col min="12" max="12" width="10.7109375" style="34" customWidth="1"/>
    <col min="13" max="13" width="9.140625" style="34" customWidth="1"/>
    <col min="14" max="14" width="9.140625" style="67" customWidth="1"/>
    <col min="15" max="132" width="9.140625" style="68" customWidth="1"/>
  </cols>
  <sheetData>
    <row r="1" spans="1:132" s="72" customFormat="1" ht="20.25" customHeight="1">
      <c r="A1" s="824" t="s">
        <v>202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70"/>
      <c r="M1" s="70"/>
      <c r="N1" s="69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</row>
    <row r="2" spans="1:132">
      <c r="A2" s="70" t="s">
        <v>203</v>
      </c>
    </row>
    <row r="3" spans="1:132" s="79" customFormat="1" ht="84" customHeight="1">
      <c r="A3" s="825" t="s">
        <v>0</v>
      </c>
      <c r="B3" s="73" t="s">
        <v>204</v>
      </c>
      <c r="C3" s="826" t="s">
        <v>205</v>
      </c>
      <c r="D3" s="826"/>
      <c r="E3" s="827" t="s">
        <v>206</v>
      </c>
      <c r="F3" s="74" t="s">
        <v>207</v>
      </c>
      <c r="G3" s="75" t="s">
        <v>208</v>
      </c>
      <c r="H3" s="76" t="s">
        <v>209</v>
      </c>
      <c r="I3" s="828" t="s">
        <v>210</v>
      </c>
      <c r="J3" s="828"/>
      <c r="K3" s="76" t="s">
        <v>211</v>
      </c>
      <c r="L3" s="77"/>
      <c r="M3" s="77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</row>
    <row r="4" spans="1:132" s="79" customFormat="1" ht="51">
      <c r="A4" s="825"/>
      <c r="B4" s="80"/>
      <c r="C4" s="81" t="s">
        <v>212</v>
      </c>
      <c r="D4" s="81" t="s">
        <v>213</v>
      </c>
      <c r="E4" s="827"/>
      <c r="F4" s="81" t="s">
        <v>214</v>
      </c>
      <c r="G4" s="82" t="s">
        <v>215</v>
      </c>
      <c r="H4" s="83" t="s">
        <v>216</v>
      </c>
      <c r="I4" s="84" t="s">
        <v>217</v>
      </c>
      <c r="J4" s="82" t="s">
        <v>218</v>
      </c>
      <c r="K4" s="83" t="s">
        <v>219</v>
      </c>
      <c r="L4" s="77"/>
      <c r="M4" s="77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</row>
    <row r="5" spans="1:132" s="91" customFormat="1" ht="14.25" customHeight="1">
      <c r="A5" s="85">
        <v>1</v>
      </c>
      <c r="B5" s="86">
        <v>2</v>
      </c>
      <c r="C5" s="87">
        <v>3</v>
      </c>
      <c r="D5" s="87">
        <v>4</v>
      </c>
      <c r="E5" s="85">
        <v>5</v>
      </c>
      <c r="F5" s="87">
        <v>6</v>
      </c>
      <c r="G5" s="88">
        <v>7</v>
      </c>
      <c r="H5" s="89">
        <v>8</v>
      </c>
      <c r="I5" s="86">
        <v>9</v>
      </c>
      <c r="J5" s="88">
        <v>10</v>
      </c>
      <c r="K5" s="89">
        <v>11</v>
      </c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</row>
    <row r="6" spans="1:132" s="91" customFormat="1" ht="14.25" hidden="1" customHeight="1">
      <c r="A6" s="92" t="s">
        <v>174</v>
      </c>
      <c r="B6" s="93"/>
      <c r="C6" s="94"/>
      <c r="D6" s="94"/>
      <c r="E6" s="94"/>
      <c r="F6" s="94"/>
      <c r="G6" s="95"/>
      <c r="H6" s="96"/>
      <c r="I6" s="97"/>
      <c r="J6" s="95"/>
      <c r="K6" s="9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</row>
    <row r="7" spans="1:132" s="107" customFormat="1" ht="18" hidden="1" customHeight="1">
      <c r="A7" s="98" t="s">
        <v>62</v>
      </c>
      <c r="B7" s="99"/>
      <c r="C7" s="100"/>
      <c r="D7" s="100"/>
      <c r="E7" s="100"/>
      <c r="F7" s="100"/>
      <c r="G7" s="101"/>
      <c r="H7" s="102"/>
      <c r="I7" s="103">
        <f>материал!F11</f>
        <v>0.23180000000000001</v>
      </c>
      <c r="J7" s="104"/>
      <c r="K7" s="102"/>
      <c r="L7" s="105"/>
      <c r="M7" s="105"/>
      <c r="N7" s="105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</row>
    <row r="8" spans="1:132" hidden="1">
      <c r="A8" s="108"/>
      <c r="B8" s="109"/>
      <c r="C8" s="110"/>
      <c r="D8" s="110"/>
      <c r="E8" s="110"/>
      <c r="F8" s="110"/>
      <c r="G8" s="111"/>
      <c r="H8" s="112"/>
      <c r="I8" s="113"/>
      <c r="J8" s="114"/>
      <c r="K8" s="112"/>
    </row>
    <row r="9" spans="1:132" hidden="1">
      <c r="A9" s="108" t="s">
        <v>220</v>
      </c>
      <c r="B9" s="109"/>
      <c r="C9" s="110">
        <v>12</v>
      </c>
      <c r="D9" s="110">
        <v>1</v>
      </c>
      <c r="E9" s="110">
        <v>12</v>
      </c>
      <c r="F9" s="110">
        <f>D9/C9*E9</f>
        <v>1</v>
      </c>
      <c r="G9" s="111">
        <f>Цены!C40</f>
        <v>600</v>
      </c>
      <c r="H9" s="115">
        <f>F9*G9</f>
        <v>600</v>
      </c>
      <c r="I9" s="116">
        <f>I7</f>
        <v>0.23180000000000001</v>
      </c>
      <c r="J9" s="117">
        <f>F9*I9</f>
        <v>0.23180000000000001</v>
      </c>
      <c r="K9" s="115">
        <f>H9*I9</f>
        <v>139.08000000000001</v>
      </c>
    </row>
    <row r="10" spans="1:132" hidden="1">
      <c r="A10" s="108" t="s">
        <v>221</v>
      </c>
      <c r="B10" s="109"/>
      <c r="C10" s="110">
        <v>3</v>
      </c>
      <c r="D10" s="110">
        <v>1</v>
      </c>
      <c r="E10" s="110">
        <v>12</v>
      </c>
      <c r="F10" s="110">
        <f>D10/C10*E10</f>
        <v>4</v>
      </c>
      <c r="G10" s="111">
        <f>Цены!C36</f>
        <v>21</v>
      </c>
      <c r="H10" s="115">
        <f>F10*G10</f>
        <v>84</v>
      </c>
      <c r="I10" s="116">
        <f>I7</f>
        <v>0.23180000000000001</v>
      </c>
      <c r="J10" s="117">
        <f>F10*I10</f>
        <v>0.92720000000000002</v>
      </c>
      <c r="K10" s="115">
        <f>H10*I10</f>
        <v>19.4712</v>
      </c>
    </row>
    <row r="11" spans="1:132" hidden="1">
      <c r="A11" s="118" t="s">
        <v>181</v>
      </c>
      <c r="B11" s="119"/>
      <c r="C11" s="120">
        <v>3</v>
      </c>
      <c r="D11" s="120">
        <v>1</v>
      </c>
      <c r="E11" s="120">
        <v>12</v>
      </c>
      <c r="F11" s="120">
        <f>D11/C11*E11</f>
        <v>4</v>
      </c>
      <c r="G11" s="121">
        <f>Цены!C37</f>
        <v>280</v>
      </c>
      <c r="H11" s="115">
        <f>F11*G11</f>
        <v>1120</v>
      </c>
      <c r="I11" s="116">
        <f>I7</f>
        <v>0.23180000000000001</v>
      </c>
      <c r="J11" s="117">
        <f>F11*I11</f>
        <v>0.92720000000000002</v>
      </c>
      <c r="K11" s="115">
        <f>H11*I11</f>
        <v>259.61599999999999</v>
      </c>
    </row>
    <row r="12" spans="1:132" s="107" customFormat="1" ht="18" hidden="1" customHeight="1">
      <c r="A12" s="122" t="s">
        <v>222</v>
      </c>
      <c r="B12" s="123"/>
      <c r="C12" s="124"/>
      <c r="D12" s="124"/>
      <c r="E12" s="124"/>
      <c r="F12" s="124"/>
      <c r="G12" s="125"/>
      <c r="H12" s="126">
        <f>SUM(H9:H11)</f>
        <v>1804</v>
      </c>
      <c r="I12" s="127"/>
      <c r="J12" s="125"/>
      <c r="K12" s="126">
        <f>SUM(K9:K11)</f>
        <v>418.16719999999998</v>
      </c>
      <c r="L12" s="105"/>
      <c r="M12" s="105"/>
      <c r="N12" s="105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</row>
    <row r="13" spans="1:132" hidden="1">
      <c r="A13" s="128"/>
      <c r="B13" s="129"/>
      <c r="C13" s="130"/>
      <c r="D13" s="130"/>
      <c r="E13" s="130"/>
      <c r="F13" s="131"/>
      <c r="G13" s="132"/>
      <c r="H13" s="133"/>
      <c r="I13" s="134"/>
      <c r="J13" s="135"/>
      <c r="K13" s="133"/>
    </row>
    <row r="14" spans="1:132" s="107" customFormat="1" ht="18" hidden="1" customHeight="1">
      <c r="A14" s="136" t="s">
        <v>223</v>
      </c>
      <c r="B14" s="137"/>
      <c r="C14" s="100"/>
      <c r="D14" s="100"/>
      <c r="E14" s="110"/>
      <c r="F14" s="110"/>
      <c r="G14" s="101"/>
      <c r="H14" s="112"/>
      <c r="I14" s="103">
        <f>материал!F33</f>
        <v>0</v>
      </c>
      <c r="J14" s="104"/>
      <c r="K14" s="112"/>
      <c r="L14" s="105"/>
      <c r="M14" s="105"/>
      <c r="N14" s="105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</row>
    <row r="15" spans="1:132" hidden="1">
      <c r="A15" s="108"/>
      <c r="B15" s="109"/>
      <c r="C15" s="110"/>
      <c r="D15" s="110"/>
      <c r="E15" s="110"/>
      <c r="F15" s="110"/>
      <c r="G15" s="111"/>
      <c r="H15" s="112"/>
      <c r="I15" s="113"/>
      <c r="J15" s="114"/>
      <c r="K15" s="112"/>
    </row>
    <row r="16" spans="1:132" hidden="1">
      <c r="A16" s="138" t="s">
        <v>175</v>
      </c>
      <c r="B16" s="109"/>
      <c r="C16" s="110">
        <v>12</v>
      </c>
      <c r="D16" s="110">
        <v>1</v>
      </c>
      <c r="E16" s="110">
        <v>12</v>
      </c>
      <c r="F16" s="110">
        <f t="shared" ref="F16:F24" si="0">D16/C16*E16</f>
        <v>1</v>
      </c>
      <c r="G16" s="111">
        <f>Цены!C31</f>
        <v>721</v>
      </c>
      <c r="H16" s="115">
        <f t="shared" ref="H16:H24" si="1">F16*G16</f>
        <v>721</v>
      </c>
      <c r="I16" s="116">
        <f t="shared" ref="I16:I24" si="2">$I$14</f>
        <v>0</v>
      </c>
      <c r="J16" s="117">
        <f t="shared" ref="J16:J24" si="3">F16*I16</f>
        <v>0</v>
      </c>
      <c r="K16" s="115">
        <f t="shared" ref="K16:K24" si="4">H16*I16</f>
        <v>0</v>
      </c>
    </row>
    <row r="17" spans="1:132" ht="25.5" hidden="1">
      <c r="A17" s="138" t="s">
        <v>176</v>
      </c>
      <c r="B17" s="109"/>
      <c r="C17" s="110">
        <v>12</v>
      </c>
      <c r="D17" s="110">
        <v>1</v>
      </c>
      <c r="E17" s="110">
        <v>12</v>
      </c>
      <c r="F17" s="110">
        <f t="shared" si="0"/>
        <v>1</v>
      </c>
      <c r="G17" s="111">
        <f>Цены!C32</f>
        <v>340</v>
      </c>
      <c r="H17" s="115">
        <f t="shared" si="1"/>
        <v>340</v>
      </c>
      <c r="I17" s="116">
        <f t="shared" si="2"/>
        <v>0</v>
      </c>
      <c r="J17" s="117">
        <f t="shared" si="3"/>
        <v>0</v>
      </c>
      <c r="K17" s="115">
        <f t="shared" si="4"/>
        <v>0</v>
      </c>
    </row>
    <row r="18" spans="1:132" hidden="1">
      <c r="A18" s="138" t="s">
        <v>224</v>
      </c>
      <c r="B18" s="109"/>
      <c r="C18" s="110">
        <v>12</v>
      </c>
      <c r="D18" s="110">
        <v>1</v>
      </c>
      <c r="E18" s="110">
        <v>12</v>
      </c>
      <c r="F18" s="110">
        <f t="shared" si="0"/>
        <v>1</v>
      </c>
      <c r="G18" s="111">
        <f>Цены!C33</f>
        <v>1039.8900000000001</v>
      </c>
      <c r="H18" s="115">
        <f t="shared" si="1"/>
        <v>1039.8900000000001</v>
      </c>
      <c r="I18" s="116">
        <f t="shared" si="2"/>
        <v>0</v>
      </c>
      <c r="J18" s="117">
        <f t="shared" si="3"/>
        <v>0</v>
      </c>
      <c r="K18" s="115">
        <f t="shared" si="4"/>
        <v>0</v>
      </c>
    </row>
    <row r="19" spans="1:132" hidden="1">
      <c r="A19" s="138" t="s">
        <v>178</v>
      </c>
      <c r="B19" s="109"/>
      <c r="C19" s="110">
        <v>12</v>
      </c>
      <c r="D19" s="110">
        <v>1</v>
      </c>
      <c r="E19" s="110">
        <v>12</v>
      </c>
      <c r="F19" s="110">
        <f t="shared" si="0"/>
        <v>1</v>
      </c>
      <c r="G19" s="111">
        <f>Цены!C34</f>
        <v>280</v>
      </c>
      <c r="H19" s="115">
        <f t="shared" si="1"/>
        <v>280</v>
      </c>
      <c r="I19" s="116">
        <f t="shared" si="2"/>
        <v>0</v>
      </c>
      <c r="J19" s="117">
        <f t="shared" si="3"/>
        <v>0</v>
      </c>
      <c r="K19" s="115">
        <f t="shared" si="4"/>
        <v>0</v>
      </c>
    </row>
    <row r="20" spans="1:132" ht="25.5" hidden="1">
      <c r="A20" s="138" t="s">
        <v>179</v>
      </c>
      <c r="B20" s="109"/>
      <c r="C20" s="110">
        <v>3</v>
      </c>
      <c r="D20" s="110">
        <v>1</v>
      </c>
      <c r="E20" s="110">
        <v>12</v>
      </c>
      <c r="F20" s="110">
        <f t="shared" si="0"/>
        <v>4</v>
      </c>
      <c r="G20" s="111">
        <f>Цены!C35</f>
        <v>15.57</v>
      </c>
      <c r="H20" s="115">
        <f t="shared" si="1"/>
        <v>62.28</v>
      </c>
      <c r="I20" s="116">
        <f t="shared" si="2"/>
        <v>0</v>
      </c>
      <c r="J20" s="117">
        <f t="shared" si="3"/>
        <v>0</v>
      </c>
      <c r="K20" s="115">
        <f t="shared" si="4"/>
        <v>0</v>
      </c>
    </row>
    <row r="21" spans="1:132" hidden="1">
      <c r="A21" s="138" t="s">
        <v>180</v>
      </c>
      <c r="B21" s="109"/>
      <c r="C21" s="110">
        <v>0.5</v>
      </c>
      <c r="D21" s="110">
        <v>1</v>
      </c>
      <c r="E21" s="110">
        <v>12</v>
      </c>
      <c r="F21" s="110">
        <f t="shared" si="0"/>
        <v>24</v>
      </c>
      <c r="G21" s="111">
        <f>Цены!C36</f>
        <v>21</v>
      </c>
      <c r="H21" s="115">
        <f t="shared" si="1"/>
        <v>504</v>
      </c>
      <c r="I21" s="116">
        <f t="shared" si="2"/>
        <v>0</v>
      </c>
      <c r="J21" s="117">
        <f t="shared" si="3"/>
        <v>0</v>
      </c>
      <c r="K21" s="115">
        <f t="shared" si="4"/>
        <v>0</v>
      </c>
    </row>
    <row r="22" spans="1:132" hidden="1">
      <c r="A22" s="138" t="s">
        <v>181</v>
      </c>
      <c r="B22" s="109"/>
      <c r="C22" s="110">
        <v>3</v>
      </c>
      <c r="D22" s="110">
        <v>1</v>
      </c>
      <c r="E22" s="110">
        <v>12</v>
      </c>
      <c r="F22" s="110">
        <f t="shared" si="0"/>
        <v>4</v>
      </c>
      <c r="G22" s="111">
        <f>Цены!C37</f>
        <v>280</v>
      </c>
      <c r="H22" s="115">
        <f t="shared" si="1"/>
        <v>1120</v>
      </c>
      <c r="I22" s="116">
        <f t="shared" si="2"/>
        <v>0</v>
      </c>
      <c r="J22" s="117">
        <f t="shared" si="3"/>
        <v>0</v>
      </c>
      <c r="K22" s="115">
        <f t="shared" si="4"/>
        <v>0</v>
      </c>
    </row>
    <row r="23" spans="1:132" hidden="1">
      <c r="A23" s="138" t="s">
        <v>182</v>
      </c>
      <c r="B23" s="109"/>
      <c r="C23" s="110">
        <v>24</v>
      </c>
      <c r="D23" s="110">
        <v>1</v>
      </c>
      <c r="E23" s="110">
        <v>12</v>
      </c>
      <c r="F23" s="110">
        <f t="shared" si="0"/>
        <v>0.5</v>
      </c>
      <c r="G23" s="111">
        <f>Цены!C38</f>
        <v>105</v>
      </c>
      <c r="H23" s="115">
        <f t="shared" si="1"/>
        <v>52.5</v>
      </c>
      <c r="I23" s="116">
        <f t="shared" si="2"/>
        <v>0</v>
      </c>
      <c r="J23" s="117">
        <f t="shared" si="3"/>
        <v>0</v>
      </c>
      <c r="K23" s="115">
        <f t="shared" si="4"/>
        <v>0</v>
      </c>
    </row>
    <row r="24" spans="1:132" ht="25.5" hidden="1">
      <c r="A24" s="138" t="s">
        <v>183</v>
      </c>
      <c r="B24" s="109"/>
      <c r="C24" s="110">
        <v>30</v>
      </c>
      <c r="D24" s="110">
        <v>1</v>
      </c>
      <c r="E24" s="110">
        <v>12</v>
      </c>
      <c r="F24" s="139">
        <f t="shared" si="0"/>
        <v>0.4</v>
      </c>
      <c r="G24" s="111">
        <f>Цены!C39</f>
        <v>1366</v>
      </c>
      <c r="H24" s="115">
        <f t="shared" si="1"/>
        <v>546.4</v>
      </c>
      <c r="I24" s="116">
        <f t="shared" si="2"/>
        <v>0</v>
      </c>
      <c r="J24" s="117">
        <f t="shared" si="3"/>
        <v>0</v>
      </c>
      <c r="K24" s="115">
        <f t="shared" si="4"/>
        <v>0</v>
      </c>
    </row>
    <row r="25" spans="1:132" s="13" customFormat="1" ht="18" hidden="1" customHeight="1">
      <c r="A25" s="122" t="s">
        <v>222</v>
      </c>
      <c r="B25" s="123"/>
      <c r="C25" s="124"/>
      <c r="D25" s="124"/>
      <c r="E25" s="124"/>
      <c r="F25" s="124"/>
      <c r="G25" s="125"/>
      <c r="H25" s="126">
        <f>SUM(H16:H24)</f>
        <v>4666.07</v>
      </c>
      <c r="I25" s="127"/>
      <c r="J25" s="125"/>
      <c r="K25" s="126">
        <f>SUM(K21:K24)</f>
        <v>0</v>
      </c>
      <c r="L25" s="140"/>
      <c r="M25" s="140"/>
      <c r="N25" s="140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</row>
    <row r="26" spans="1:132" hidden="1">
      <c r="A26" s="128"/>
      <c r="B26" s="129"/>
      <c r="C26" s="130"/>
      <c r="D26" s="130"/>
      <c r="E26" s="130"/>
      <c r="F26" s="130"/>
      <c r="G26" s="132"/>
      <c r="H26" s="142"/>
      <c r="I26" s="143"/>
      <c r="J26" s="132"/>
      <c r="K26" s="142"/>
    </row>
    <row r="27" spans="1:132" s="149" customFormat="1" ht="25.5" hidden="1">
      <c r="A27" s="144" t="s">
        <v>225</v>
      </c>
      <c r="B27" s="145"/>
      <c r="C27" s="25"/>
      <c r="D27" s="25"/>
      <c r="E27" s="110"/>
      <c r="F27" s="110"/>
      <c r="G27" s="146"/>
      <c r="H27" s="112"/>
      <c r="I27" s="103">
        <f>материал!F46</f>
        <v>0</v>
      </c>
      <c r="J27" s="147"/>
      <c r="K27" s="112"/>
      <c r="L27" s="90"/>
      <c r="M27" s="90"/>
      <c r="N27" s="90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</row>
    <row r="28" spans="1:132" hidden="1">
      <c r="A28" s="108"/>
      <c r="B28" s="109"/>
      <c r="C28" s="110"/>
      <c r="D28" s="110"/>
      <c r="E28" s="110"/>
      <c r="F28" s="110"/>
      <c r="G28" s="111"/>
      <c r="H28" s="112"/>
      <c r="I28" s="113"/>
      <c r="J28" s="114"/>
      <c r="K28" s="112"/>
    </row>
    <row r="29" spans="1:132" hidden="1">
      <c r="A29" s="108" t="s">
        <v>226</v>
      </c>
      <c r="B29" s="109"/>
      <c r="C29" s="110">
        <v>12</v>
      </c>
      <c r="D29" s="110">
        <v>1</v>
      </c>
      <c r="E29" s="110">
        <v>12</v>
      </c>
      <c r="F29" s="110">
        <f>D29/C29*E29</f>
        <v>1</v>
      </c>
      <c r="G29" s="111">
        <f>Цены!C40</f>
        <v>600</v>
      </c>
      <c r="H29" s="115">
        <f>F29*G29</f>
        <v>600</v>
      </c>
      <c r="I29" s="116">
        <f>I27</f>
        <v>0</v>
      </c>
      <c r="J29" s="117">
        <f>F29*I29</f>
        <v>0</v>
      </c>
      <c r="K29" s="115">
        <f>H29*I29</f>
        <v>0</v>
      </c>
    </row>
    <row r="30" spans="1:132" hidden="1">
      <c r="A30" s="108" t="s">
        <v>227</v>
      </c>
      <c r="B30" s="109"/>
      <c r="C30" s="110">
        <v>12</v>
      </c>
      <c r="D30" s="110">
        <v>4</v>
      </c>
      <c r="E30" s="110">
        <v>12</v>
      </c>
      <c r="F30" s="110">
        <f>D30/C30*E30</f>
        <v>4</v>
      </c>
      <c r="G30" s="111">
        <f>Цены!C35</f>
        <v>15.57</v>
      </c>
      <c r="H30" s="115">
        <f>F30*G30</f>
        <v>62.28</v>
      </c>
      <c r="I30" s="116">
        <f>I27</f>
        <v>0</v>
      </c>
      <c r="J30" s="117">
        <f>F30*I30</f>
        <v>0</v>
      </c>
      <c r="K30" s="115">
        <f>H30*I30</f>
        <v>0</v>
      </c>
    </row>
    <row r="31" spans="1:132" hidden="1">
      <c r="A31" s="118" t="s">
        <v>178</v>
      </c>
      <c r="B31" s="119"/>
      <c r="C31" s="120">
        <v>24</v>
      </c>
      <c r="D31" s="120">
        <v>1</v>
      </c>
      <c r="E31" s="120">
        <v>12</v>
      </c>
      <c r="F31" s="110">
        <f>D31/C31*E31</f>
        <v>0.5</v>
      </c>
      <c r="G31" s="121">
        <f>Цены!C34</f>
        <v>280</v>
      </c>
      <c r="H31" s="115">
        <f>F31*G31</f>
        <v>140</v>
      </c>
      <c r="I31" s="116">
        <f>I27</f>
        <v>0</v>
      </c>
      <c r="J31" s="117">
        <f>F31*I31</f>
        <v>0</v>
      </c>
      <c r="K31" s="115">
        <f>H31*I31</f>
        <v>0</v>
      </c>
    </row>
    <row r="32" spans="1:132" s="107" customFormat="1" ht="18" hidden="1" customHeight="1">
      <c r="A32" s="122" t="s">
        <v>222</v>
      </c>
      <c r="B32" s="123"/>
      <c r="C32" s="124"/>
      <c r="D32" s="124"/>
      <c r="E32" s="124"/>
      <c r="F32" s="124"/>
      <c r="G32" s="125"/>
      <c r="H32" s="126">
        <f>SUM(H29:H31)</f>
        <v>802.28</v>
      </c>
      <c r="I32" s="127"/>
      <c r="J32" s="125"/>
      <c r="K32" s="126">
        <f>SUM(K29:K31)</f>
        <v>0</v>
      </c>
      <c r="L32" s="105"/>
      <c r="M32" s="105"/>
      <c r="N32" s="105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</row>
    <row r="33" spans="1:132" hidden="1">
      <c r="A33" s="128"/>
      <c r="B33" s="129"/>
      <c r="C33" s="130"/>
      <c r="D33" s="130"/>
      <c r="E33" s="130"/>
      <c r="F33" s="130"/>
      <c r="G33" s="132"/>
      <c r="H33" s="142"/>
      <c r="I33" s="143"/>
      <c r="J33" s="132"/>
      <c r="K33" s="142"/>
    </row>
    <row r="34" spans="1:132" ht="15.75" hidden="1">
      <c r="A34" s="150" t="s">
        <v>143</v>
      </c>
      <c r="B34" s="151"/>
      <c r="C34" s="110"/>
      <c r="D34" s="110"/>
      <c r="E34" s="110"/>
      <c r="F34" s="110"/>
      <c r="G34" s="111"/>
      <c r="H34" s="112"/>
      <c r="I34" s="152"/>
      <c r="J34" s="111"/>
      <c r="K34" s="112"/>
    </row>
    <row r="35" spans="1:132" hidden="1">
      <c r="A35" s="108"/>
      <c r="B35" s="109"/>
      <c r="C35" s="110"/>
      <c r="D35" s="110"/>
      <c r="E35" s="110"/>
      <c r="F35" s="110"/>
      <c r="G35" s="111"/>
      <c r="H35" s="112"/>
      <c r="I35" s="152"/>
      <c r="J35" s="111"/>
      <c r="K35" s="112"/>
    </row>
    <row r="36" spans="1:132" ht="17.25" hidden="1" customHeight="1">
      <c r="A36" s="153" t="s">
        <v>62</v>
      </c>
      <c r="B36" s="109"/>
      <c r="C36" s="100"/>
      <c r="D36" s="100"/>
      <c r="E36" s="100"/>
      <c r="F36" s="110"/>
      <c r="G36" s="111"/>
      <c r="H36" s="112"/>
      <c r="I36" s="113">
        <f>материал!F11</f>
        <v>0.23180000000000001</v>
      </c>
      <c r="J36" s="114"/>
      <c r="K36" s="112"/>
    </row>
    <row r="37" spans="1:132" hidden="1">
      <c r="A37" s="108"/>
      <c r="B37" s="109"/>
      <c r="C37" s="110"/>
      <c r="D37" s="110"/>
      <c r="E37" s="110"/>
      <c r="F37" s="110"/>
      <c r="G37" s="111"/>
      <c r="H37" s="112"/>
      <c r="I37" s="116"/>
      <c r="J37" s="111"/>
      <c r="K37" s="112"/>
    </row>
    <row r="38" spans="1:132" hidden="1">
      <c r="A38" s="108" t="s">
        <v>153</v>
      </c>
      <c r="B38" s="109"/>
      <c r="C38" s="110">
        <v>12</v>
      </c>
      <c r="D38" s="110">
        <v>1</v>
      </c>
      <c r="E38" s="110">
        <v>12</v>
      </c>
      <c r="F38" s="110">
        <f>D38/C38*E38</f>
        <v>1</v>
      </c>
      <c r="G38" s="111">
        <f>Цены!C9</f>
        <v>116.05</v>
      </c>
      <c r="H38" s="115">
        <f>F38*G38</f>
        <v>116.05</v>
      </c>
      <c r="I38" s="116">
        <f>I36</f>
        <v>0.23180000000000001</v>
      </c>
      <c r="J38" s="117">
        <f>F38*I38</f>
        <v>0.23180000000000001</v>
      </c>
      <c r="K38" s="115">
        <f>ROUND(H38*I38,2)</f>
        <v>26.9</v>
      </c>
    </row>
    <row r="39" spans="1:132" hidden="1">
      <c r="A39" s="108" t="s">
        <v>161</v>
      </c>
      <c r="B39" s="109"/>
      <c r="C39" s="110">
        <v>12</v>
      </c>
      <c r="D39" s="110">
        <v>12</v>
      </c>
      <c r="E39" s="110">
        <v>12</v>
      </c>
      <c r="F39" s="110">
        <f>D39/C39*E39</f>
        <v>12</v>
      </c>
      <c r="G39" s="111">
        <f>Цены!C17</f>
        <v>72.27</v>
      </c>
      <c r="H39" s="115">
        <f>F39*G39</f>
        <v>867.24</v>
      </c>
      <c r="I39" s="116">
        <f>I36</f>
        <v>0.23180000000000001</v>
      </c>
      <c r="J39" s="117">
        <f>F39*I39</f>
        <v>2.7816000000000001</v>
      </c>
      <c r="K39" s="115">
        <f>ROUND(H39*I39,2)</f>
        <v>201.03</v>
      </c>
    </row>
    <row r="40" spans="1:132" ht="12.75" hidden="1" customHeight="1">
      <c r="A40" s="108" t="s">
        <v>162</v>
      </c>
      <c r="B40" s="109"/>
      <c r="C40" s="110">
        <v>24</v>
      </c>
      <c r="D40" s="110">
        <v>1</v>
      </c>
      <c r="E40" s="110">
        <v>12</v>
      </c>
      <c r="F40" s="110">
        <f>D40/C40*E40</f>
        <v>0.5</v>
      </c>
      <c r="G40" s="111">
        <f>Цены!C18</f>
        <v>48.26</v>
      </c>
      <c r="H40" s="115">
        <f>F40*G40</f>
        <v>24.13</v>
      </c>
      <c r="I40" s="116">
        <f>I36</f>
        <v>0.23180000000000001</v>
      </c>
      <c r="J40" s="117">
        <f>F40*I40</f>
        <v>0.1159</v>
      </c>
      <c r="K40" s="115">
        <f>ROUND(H40*I40,2)</f>
        <v>5.59</v>
      </c>
    </row>
    <row r="41" spans="1:132" ht="12.75" hidden="1" customHeight="1">
      <c r="A41" s="108" t="s">
        <v>160</v>
      </c>
      <c r="B41" s="109"/>
      <c r="C41" s="110">
        <v>12</v>
      </c>
      <c r="D41" s="110">
        <v>1</v>
      </c>
      <c r="E41" s="110">
        <v>12</v>
      </c>
      <c r="F41" s="110">
        <f>D41/C41*E41</f>
        <v>1</v>
      </c>
      <c r="G41" s="111">
        <f>Цены!C16</f>
        <v>213.71</v>
      </c>
      <c r="H41" s="115">
        <f>F41*G41</f>
        <v>213.71</v>
      </c>
      <c r="I41" s="116">
        <f>I36</f>
        <v>0.23180000000000001</v>
      </c>
      <c r="J41" s="117">
        <f>F41*I41</f>
        <v>0.23180000000000001</v>
      </c>
      <c r="K41" s="115">
        <f>ROUND(H41*I41,2)</f>
        <v>49.54</v>
      </c>
    </row>
    <row r="42" spans="1:132" ht="12.75" hidden="1" customHeight="1">
      <c r="A42" s="108" t="s">
        <v>159</v>
      </c>
      <c r="B42" s="109"/>
      <c r="C42" s="110">
        <v>12</v>
      </c>
      <c r="D42" s="110">
        <v>1</v>
      </c>
      <c r="E42" s="110">
        <v>12</v>
      </c>
      <c r="F42" s="110">
        <f>D42/C42*E42</f>
        <v>1</v>
      </c>
      <c r="G42" s="111">
        <f>Цены!C15</f>
        <v>448.11</v>
      </c>
      <c r="H42" s="115">
        <f>F42*G42</f>
        <v>448.11</v>
      </c>
      <c r="I42" s="116">
        <f>I36</f>
        <v>0.23180000000000001</v>
      </c>
      <c r="J42" s="117">
        <f>F42*I42</f>
        <v>0.23180000000000001</v>
      </c>
      <c r="K42" s="115">
        <f>ROUND(H42*I42,2)</f>
        <v>103.87</v>
      </c>
    </row>
    <row r="43" spans="1:132" s="107" customFormat="1" ht="19.7" hidden="1" customHeight="1">
      <c r="A43" s="154" t="s">
        <v>222</v>
      </c>
      <c r="B43" s="155"/>
      <c r="C43" s="156"/>
      <c r="D43" s="156"/>
      <c r="E43" s="156"/>
      <c r="F43" s="157"/>
      <c r="G43" s="158"/>
      <c r="H43" s="159">
        <f>SUM(H38:H42)</f>
        <v>1669.2399999999998</v>
      </c>
      <c r="I43" s="160"/>
      <c r="J43" s="158"/>
      <c r="K43" s="159">
        <f>SUM(K38:K42)</f>
        <v>386.93</v>
      </c>
      <c r="L43" s="105"/>
      <c r="M43" s="105"/>
      <c r="N43" s="105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</row>
    <row r="44" spans="1:132" s="12" customFormat="1" ht="19.7" hidden="1" customHeight="1">
      <c r="A44" s="161" t="s">
        <v>228</v>
      </c>
      <c r="B44" s="162"/>
      <c r="C44" s="161">
        <v>100</v>
      </c>
      <c r="D44" s="161">
        <v>0.19800000000000001</v>
      </c>
      <c r="E44" s="163">
        <v>7</v>
      </c>
      <c r="F44" s="164">
        <f>D44/C44*E44</f>
        <v>1.3860000000000001E-2</v>
      </c>
      <c r="G44" s="111">
        <f>Цены!C23</f>
        <v>53.76</v>
      </c>
      <c r="H44" s="115">
        <f>F44*G44</f>
        <v>0.74511360000000004</v>
      </c>
      <c r="I44" s="152">
        <f>'Исх. дан.'!D6+'Исх. дан.'!D7</f>
        <v>170</v>
      </c>
      <c r="J44" s="139">
        <f>I44*F44</f>
        <v>2.3562000000000003</v>
      </c>
      <c r="K44" s="165">
        <f>H44*I44</f>
        <v>126.66931200000001</v>
      </c>
      <c r="L44" s="34"/>
      <c r="M44" s="34"/>
      <c r="N44" s="34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/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/>
      <c r="DU44" s="166"/>
      <c r="DV44" s="166"/>
      <c r="DW44" s="166"/>
      <c r="DX44" s="166"/>
      <c r="DY44" s="166"/>
      <c r="DZ44" s="166"/>
      <c r="EA44" s="166"/>
      <c r="EB44" s="166"/>
    </row>
    <row r="45" spans="1:132" s="12" customFormat="1" ht="19.7" hidden="1" customHeight="1">
      <c r="A45" s="167" t="s">
        <v>229</v>
      </c>
      <c r="B45" s="168"/>
      <c r="C45" s="167">
        <v>100</v>
      </c>
      <c r="D45" s="167">
        <v>0.60000000000000009</v>
      </c>
      <c r="E45" s="169">
        <v>2</v>
      </c>
      <c r="F45" s="170">
        <f>D45/C45*E45</f>
        <v>1.2000000000000002E-2</v>
      </c>
      <c r="G45" s="132">
        <f>Цены!C24</f>
        <v>48.61</v>
      </c>
      <c r="H45" s="142">
        <f>F45*G45</f>
        <v>0.58332000000000006</v>
      </c>
      <c r="I45" s="143">
        <f>'Исх. дан.'!D15</f>
        <v>0</v>
      </c>
      <c r="J45" s="171">
        <f>I45*F45</f>
        <v>0</v>
      </c>
      <c r="K45" s="142">
        <f>H45*I45</f>
        <v>0</v>
      </c>
      <c r="L45" s="34"/>
      <c r="M45" s="34"/>
      <c r="N45" s="34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/>
      <c r="DU45" s="166"/>
      <c r="DV45" s="166"/>
      <c r="DW45" s="166"/>
      <c r="DX45" s="166"/>
      <c r="DY45" s="166"/>
      <c r="DZ45" s="166"/>
      <c r="EA45" s="166"/>
      <c r="EB45" s="166"/>
    </row>
    <row r="46" spans="1:132" ht="33" hidden="1" customHeight="1">
      <c r="A46" s="172" t="s">
        <v>230</v>
      </c>
      <c r="B46" s="173"/>
      <c r="C46" s="174">
        <v>100</v>
      </c>
      <c r="D46" s="174">
        <v>0.2</v>
      </c>
      <c r="E46" s="174">
        <v>2</v>
      </c>
      <c r="F46" s="175">
        <f>D46/C46*E46</f>
        <v>4.0000000000000001E-3</v>
      </c>
      <c r="G46" s="176">
        <f>Цены!C25</f>
        <v>74.06</v>
      </c>
      <c r="H46" s="177">
        <f>F46*G46</f>
        <v>0.29624</v>
      </c>
      <c r="I46" s="178">
        <f>'Исх. дан.'!D6</f>
        <v>0</v>
      </c>
      <c r="J46" s="179">
        <f>I46*F46</f>
        <v>0</v>
      </c>
      <c r="K46" s="177">
        <f>H46*I46</f>
        <v>0</v>
      </c>
    </row>
    <row r="47" spans="1:132" hidden="1">
      <c r="A47" s="180" t="s">
        <v>222</v>
      </c>
      <c r="B47" s="181"/>
      <c r="C47" s="182"/>
      <c r="D47" s="182"/>
      <c r="E47" s="182"/>
      <c r="F47" s="183"/>
      <c r="G47" s="184"/>
      <c r="H47" s="185"/>
      <c r="I47" s="186"/>
      <c r="J47" s="187"/>
      <c r="K47" s="185">
        <f>SUM(K44:K46)</f>
        <v>126.66931200000001</v>
      </c>
    </row>
    <row r="48" spans="1:132" ht="18.75" hidden="1" customHeight="1">
      <c r="A48" s="188" t="s">
        <v>231</v>
      </c>
      <c r="B48" s="189"/>
      <c r="C48" s="190"/>
      <c r="D48" s="190"/>
      <c r="E48" s="190"/>
      <c r="F48" s="130"/>
      <c r="G48" s="132"/>
      <c r="H48" s="133"/>
      <c r="I48" s="191">
        <f>материал!F33</f>
        <v>0</v>
      </c>
      <c r="J48" s="192"/>
      <c r="K48" s="133"/>
    </row>
    <row r="49" spans="1:132" hidden="1">
      <c r="A49" s="108"/>
      <c r="B49" s="109"/>
      <c r="C49" s="110"/>
      <c r="D49" s="110"/>
      <c r="E49" s="110"/>
      <c r="F49" s="110"/>
      <c r="G49" s="111"/>
      <c r="H49" s="112"/>
      <c r="I49" s="113"/>
      <c r="J49" s="114"/>
      <c r="K49" s="112"/>
    </row>
    <row r="50" spans="1:132" hidden="1">
      <c r="A50" s="108" t="s">
        <v>146</v>
      </c>
      <c r="B50" s="109"/>
      <c r="C50" s="110">
        <v>12</v>
      </c>
      <c r="D50" s="110">
        <v>1</v>
      </c>
      <c r="E50" s="110">
        <v>5.5</v>
      </c>
      <c r="F50" s="139">
        <f t="shared" ref="F50:F55" si="5">D50/C50*E50</f>
        <v>0.45833333333333331</v>
      </c>
      <c r="G50" s="111">
        <f>Цены!C2</f>
        <v>563.01</v>
      </c>
      <c r="H50" s="142">
        <f t="shared" ref="H50:H55" si="6">F50*G50</f>
        <v>258.04624999999999</v>
      </c>
      <c r="I50" s="116">
        <f>I48</f>
        <v>0</v>
      </c>
      <c r="J50" s="117">
        <f t="shared" ref="J50:J55" si="7">F50*I50</f>
        <v>0</v>
      </c>
      <c r="K50" s="115">
        <f t="shared" ref="K50:K55" si="8">ROUND(H50*I50,2)</f>
        <v>0</v>
      </c>
    </row>
    <row r="51" spans="1:132" hidden="1">
      <c r="A51" s="108" t="s">
        <v>147</v>
      </c>
      <c r="B51" s="109"/>
      <c r="C51" s="110">
        <v>60</v>
      </c>
      <c r="D51" s="110">
        <v>1</v>
      </c>
      <c r="E51" s="110">
        <v>5.5</v>
      </c>
      <c r="F51" s="139">
        <f t="shared" si="5"/>
        <v>9.166666666666666E-2</v>
      </c>
      <c r="G51" s="111">
        <f>Цены!C3</f>
        <v>120.65</v>
      </c>
      <c r="H51" s="142">
        <f t="shared" si="6"/>
        <v>11.059583333333332</v>
      </c>
      <c r="I51" s="116">
        <f>I48</f>
        <v>0</v>
      </c>
      <c r="J51" s="117">
        <f t="shared" si="7"/>
        <v>0</v>
      </c>
      <c r="K51" s="115">
        <f t="shared" si="8"/>
        <v>0</v>
      </c>
    </row>
    <row r="52" spans="1:132" hidden="1">
      <c r="A52" s="108" t="s">
        <v>148</v>
      </c>
      <c r="B52" s="109"/>
      <c r="C52" s="110">
        <v>24</v>
      </c>
      <c r="D52" s="110">
        <v>1</v>
      </c>
      <c r="E52" s="110">
        <v>5.5</v>
      </c>
      <c r="F52" s="139">
        <f t="shared" si="5"/>
        <v>0.22916666666666666</v>
      </c>
      <c r="G52" s="111">
        <f>Цены!C4</f>
        <v>79.97</v>
      </c>
      <c r="H52" s="142">
        <f t="shared" si="6"/>
        <v>18.326458333333331</v>
      </c>
      <c r="I52" s="116">
        <f>I48</f>
        <v>0</v>
      </c>
      <c r="J52" s="117">
        <f t="shared" si="7"/>
        <v>0</v>
      </c>
      <c r="K52" s="115">
        <f t="shared" si="8"/>
        <v>0</v>
      </c>
    </row>
    <row r="53" spans="1:132" hidden="1">
      <c r="A53" s="108" t="s">
        <v>149</v>
      </c>
      <c r="B53" s="109"/>
      <c r="C53" s="110">
        <v>24</v>
      </c>
      <c r="D53" s="110">
        <v>1</v>
      </c>
      <c r="E53" s="110">
        <v>5.5</v>
      </c>
      <c r="F53" s="139">
        <f t="shared" si="5"/>
        <v>0.22916666666666666</v>
      </c>
      <c r="G53" s="111">
        <f>Цены!C5</f>
        <v>76.41</v>
      </c>
      <c r="H53" s="142">
        <f t="shared" si="6"/>
        <v>17.510624999999997</v>
      </c>
      <c r="I53" s="116">
        <f>I48</f>
        <v>0</v>
      </c>
      <c r="J53" s="117">
        <f t="shared" si="7"/>
        <v>0</v>
      </c>
      <c r="K53" s="115">
        <f t="shared" si="8"/>
        <v>0</v>
      </c>
    </row>
    <row r="54" spans="1:132" hidden="1">
      <c r="A54" s="108" t="s">
        <v>151</v>
      </c>
      <c r="B54" s="109"/>
      <c r="C54" s="110">
        <v>12</v>
      </c>
      <c r="D54" s="110">
        <v>44</v>
      </c>
      <c r="E54" s="110">
        <v>5.5</v>
      </c>
      <c r="F54" s="139">
        <f t="shared" si="5"/>
        <v>20.166666666666664</v>
      </c>
      <c r="G54" s="111">
        <f>Цены!C7</f>
        <v>44.24</v>
      </c>
      <c r="H54" s="142">
        <f t="shared" si="6"/>
        <v>892.17333333333329</v>
      </c>
      <c r="I54" s="116">
        <f>I48</f>
        <v>0</v>
      </c>
      <c r="J54" s="117">
        <f t="shared" si="7"/>
        <v>0</v>
      </c>
      <c r="K54" s="115">
        <f t="shared" si="8"/>
        <v>0</v>
      </c>
    </row>
    <row r="55" spans="1:132" hidden="1">
      <c r="A55" s="108" t="s">
        <v>152</v>
      </c>
      <c r="B55" s="109"/>
      <c r="C55" s="110">
        <v>24</v>
      </c>
      <c r="D55" s="110">
        <v>1</v>
      </c>
      <c r="E55" s="110">
        <v>5.5</v>
      </c>
      <c r="F55" s="139">
        <f t="shared" si="5"/>
        <v>0.22916666666666666</v>
      </c>
      <c r="G55" s="111">
        <f>Цены!C8</f>
        <v>2298</v>
      </c>
      <c r="H55" s="142">
        <f t="shared" si="6"/>
        <v>526.625</v>
      </c>
      <c r="I55" s="116">
        <f>I48</f>
        <v>0</v>
      </c>
      <c r="J55" s="117">
        <f t="shared" si="7"/>
        <v>0</v>
      </c>
      <c r="K55" s="115">
        <f t="shared" si="8"/>
        <v>0</v>
      </c>
    </row>
    <row r="56" spans="1:132" s="13" customFormat="1" ht="15.95" hidden="1" customHeight="1">
      <c r="A56" s="193" t="s">
        <v>232</v>
      </c>
      <c r="B56" s="194"/>
      <c r="C56" s="195"/>
      <c r="D56" s="195"/>
      <c r="E56" s="195"/>
      <c r="F56" s="195"/>
      <c r="G56" s="196"/>
      <c r="H56" s="197">
        <f>SUM(H50:H55)</f>
        <v>1723.74125</v>
      </c>
      <c r="I56" s="198"/>
      <c r="J56" s="196"/>
      <c r="K56" s="197">
        <f>SUM(K50:K55)</f>
        <v>0</v>
      </c>
      <c r="L56" s="140"/>
      <c r="M56" s="140"/>
      <c r="N56" s="140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</row>
    <row r="57" spans="1:132" hidden="1">
      <c r="A57" s="128"/>
      <c r="B57" s="129"/>
      <c r="C57" s="130"/>
      <c r="D57" s="130"/>
      <c r="E57" s="130"/>
      <c r="F57" s="130"/>
      <c r="G57" s="132"/>
      <c r="H57" s="133"/>
      <c r="I57" s="143"/>
      <c r="J57" s="132"/>
      <c r="K57" s="133"/>
    </row>
    <row r="58" spans="1:132" ht="18" hidden="1" customHeight="1">
      <c r="A58" s="136" t="s">
        <v>233</v>
      </c>
      <c r="B58" s="199"/>
      <c r="C58" s="110"/>
      <c r="D58" s="110"/>
      <c r="E58" s="110"/>
      <c r="F58" s="110"/>
      <c r="G58" s="111"/>
      <c r="H58" s="112"/>
      <c r="I58" s="103">
        <f>материал!F33</f>
        <v>0</v>
      </c>
      <c r="J58" s="200"/>
      <c r="K58" s="112"/>
    </row>
    <row r="59" spans="1:132" hidden="1">
      <c r="A59" s="201"/>
      <c r="B59" s="109"/>
      <c r="C59" s="110"/>
      <c r="D59" s="110"/>
      <c r="E59" s="110"/>
      <c r="F59" s="110"/>
      <c r="G59" s="111"/>
      <c r="H59" s="112"/>
      <c r="I59" s="113"/>
      <c r="J59" s="114"/>
      <c r="K59" s="112"/>
    </row>
    <row r="60" spans="1:132" s="12" customFormat="1" hidden="1">
      <c r="A60" s="108" t="s">
        <v>153</v>
      </c>
      <c r="B60" s="109"/>
      <c r="C60" s="110">
        <v>36</v>
      </c>
      <c r="D60" s="110">
        <v>1</v>
      </c>
      <c r="E60" s="110">
        <v>6.5</v>
      </c>
      <c r="F60" s="139">
        <f t="shared" ref="F60:F71" si="9">D60/C60*E60</f>
        <v>0.18055555555555555</v>
      </c>
      <c r="G60" s="111">
        <f>Цены!C9</f>
        <v>116.05</v>
      </c>
      <c r="H60" s="142">
        <f t="shared" ref="H60:H71" si="10">F60*G60</f>
        <v>20.953472222222221</v>
      </c>
      <c r="I60" s="116">
        <f t="shared" ref="I60:I71" si="11">$I$58</f>
        <v>0</v>
      </c>
      <c r="J60" s="117">
        <f t="shared" ref="J60:J71" si="12">F60*I60</f>
        <v>0</v>
      </c>
      <c r="K60" s="115">
        <f t="shared" ref="K60:K71" si="13">ROUND(H60*I60,2)</f>
        <v>0</v>
      </c>
      <c r="L60" s="34"/>
      <c r="M60" s="34"/>
      <c r="N60" s="34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</row>
    <row r="61" spans="1:132" s="12" customFormat="1" hidden="1">
      <c r="A61" s="108" t="s">
        <v>154</v>
      </c>
      <c r="B61" s="109"/>
      <c r="C61" s="110">
        <v>36</v>
      </c>
      <c r="D61" s="110">
        <v>1</v>
      </c>
      <c r="E61" s="110">
        <v>6.5</v>
      </c>
      <c r="F61" s="139">
        <f t="shared" si="9"/>
        <v>0.18055555555555555</v>
      </c>
      <c r="G61" s="111">
        <f>Цены!C10</f>
        <v>179.24</v>
      </c>
      <c r="H61" s="142">
        <f t="shared" si="10"/>
        <v>32.362777777777779</v>
      </c>
      <c r="I61" s="116">
        <f t="shared" si="11"/>
        <v>0</v>
      </c>
      <c r="J61" s="117">
        <f t="shared" si="12"/>
        <v>0</v>
      </c>
      <c r="K61" s="115">
        <f t="shared" si="13"/>
        <v>0</v>
      </c>
      <c r="L61" s="34"/>
      <c r="M61" s="34"/>
      <c r="N61" s="34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Q61" s="166"/>
      <c r="DR61" s="166"/>
      <c r="DS61" s="166"/>
      <c r="DT61" s="166"/>
      <c r="DU61" s="166"/>
      <c r="DV61" s="166"/>
      <c r="DW61" s="166"/>
      <c r="DX61" s="166"/>
      <c r="DY61" s="166"/>
      <c r="DZ61" s="166"/>
      <c r="EA61" s="166"/>
      <c r="EB61" s="166"/>
    </row>
    <row r="62" spans="1:132" s="12" customFormat="1" hidden="1">
      <c r="A62" s="108" t="s">
        <v>155</v>
      </c>
      <c r="B62" s="109"/>
      <c r="C62" s="110">
        <v>36</v>
      </c>
      <c r="D62" s="110">
        <v>1</v>
      </c>
      <c r="E62" s="110">
        <v>6.5</v>
      </c>
      <c r="F62" s="139">
        <f t="shared" si="9"/>
        <v>0.18055555555555555</v>
      </c>
      <c r="G62" s="111">
        <f>Цены!C11</f>
        <v>259.89999999999998</v>
      </c>
      <c r="H62" s="142">
        <f t="shared" si="10"/>
        <v>46.926388888888887</v>
      </c>
      <c r="I62" s="116">
        <f t="shared" si="11"/>
        <v>0</v>
      </c>
      <c r="J62" s="117">
        <f t="shared" si="12"/>
        <v>0</v>
      </c>
      <c r="K62" s="115">
        <f t="shared" si="13"/>
        <v>0</v>
      </c>
      <c r="L62" s="34"/>
      <c r="M62" s="34"/>
      <c r="N62" s="34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Q62" s="166"/>
      <c r="DR62" s="166"/>
      <c r="DS62" s="166"/>
      <c r="DT62" s="166"/>
      <c r="DU62" s="166"/>
      <c r="DV62" s="166"/>
      <c r="DW62" s="166"/>
      <c r="DX62" s="166"/>
      <c r="DY62" s="166"/>
      <c r="DZ62" s="166"/>
      <c r="EA62" s="166"/>
      <c r="EB62" s="166"/>
    </row>
    <row r="63" spans="1:132" ht="25.5" hidden="1">
      <c r="A63" s="138" t="s">
        <v>156</v>
      </c>
      <c r="B63" s="109"/>
      <c r="C63" s="110">
        <v>6.5</v>
      </c>
      <c r="D63" s="110">
        <v>1</v>
      </c>
      <c r="E63" s="110">
        <v>6.5</v>
      </c>
      <c r="F63" s="202">
        <f t="shared" si="9"/>
        <v>1</v>
      </c>
      <c r="G63" s="111">
        <f>Цены!C12</f>
        <v>111.45</v>
      </c>
      <c r="H63" s="142">
        <f t="shared" si="10"/>
        <v>111.45</v>
      </c>
      <c r="I63" s="116">
        <f t="shared" si="11"/>
        <v>0</v>
      </c>
      <c r="J63" s="117">
        <f t="shared" si="12"/>
        <v>0</v>
      </c>
      <c r="K63" s="115">
        <f t="shared" si="13"/>
        <v>0</v>
      </c>
    </row>
    <row r="64" spans="1:132" hidden="1">
      <c r="A64" s="108" t="s">
        <v>234</v>
      </c>
      <c r="B64" s="109"/>
      <c r="C64" s="110">
        <v>12</v>
      </c>
      <c r="D64" s="110">
        <v>248</v>
      </c>
      <c r="E64" s="110">
        <v>6.5</v>
      </c>
      <c r="F64" s="139">
        <f t="shared" si="9"/>
        <v>134.33333333333334</v>
      </c>
      <c r="G64" s="111">
        <f>Цены!C13</f>
        <v>15.51</v>
      </c>
      <c r="H64" s="142">
        <f t="shared" si="10"/>
        <v>2083.5100000000002</v>
      </c>
      <c r="I64" s="116">
        <f t="shared" si="11"/>
        <v>0</v>
      </c>
      <c r="J64" s="117">
        <f t="shared" si="12"/>
        <v>0</v>
      </c>
      <c r="K64" s="115">
        <f t="shared" si="13"/>
        <v>0</v>
      </c>
    </row>
    <row r="65" spans="1:132" hidden="1">
      <c r="A65" s="108" t="s">
        <v>235</v>
      </c>
      <c r="B65" s="109"/>
      <c r="C65" s="110">
        <v>36</v>
      </c>
      <c r="D65" s="110">
        <v>1</v>
      </c>
      <c r="E65" s="110">
        <v>6.5</v>
      </c>
      <c r="F65" s="139">
        <f t="shared" si="9"/>
        <v>0.18055555555555555</v>
      </c>
      <c r="G65" s="111">
        <f>Цены!C14</f>
        <v>838.76</v>
      </c>
      <c r="H65" s="142">
        <f t="shared" si="10"/>
        <v>151.44277777777776</v>
      </c>
      <c r="I65" s="116">
        <f t="shared" si="11"/>
        <v>0</v>
      </c>
      <c r="J65" s="117">
        <f t="shared" si="12"/>
        <v>0</v>
      </c>
      <c r="K65" s="115">
        <f t="shared" si="13"/>
        <v>0</v>
      </c>
    </row>
    <row r="66" spans="1:132" hidden="1">
      <c r="A66" s="108" t="s">
        <v>159</v>
      </c>
      <c r="B66" s="109"/>
      <c r="C66" s="110">
        <v>12</v>
      </c>
      <c r="D66" s="110">
        <v>4</v>
      </c>
      <c r="E66" s="110">
        <v>6.5</v>
      </c>
      <c r="F66" s="139">
        <f t="shared" si="9"/>
        <v>2.1666666666666665</v>
      </c>
      <c r="G66" s="111">
        <f>Цены!C15</f>
        <v>448.11</v>
      </c>
      <c r="H66" s="142">
        <f t="shared" si="10"/>
        <v>970.90499999999997</v>
      </c>
      <c r="I66" s="116">
        <f t="shared" si="11"/>
        <v>0</v>
      </c>
      <c r="J66" s="117">
        <f t="shared" si="12"/>
        <v>0</v>
      </c>
      <c r="K66" s="115">
        <f t="shared" si="13"/>
        <v>0</v>
      </c>
    </row>
    <row r="67" spans="1:132" hidden="1">
      <c r="A67" s="108" t="s">
        <v>160</v>
      </c>
      <c r="B67" s="109"/>
      <c r="C67" s="110">
        <v>12</v>
      </c>
      <c r="D67" s="110">
        <v>1</v>
      </c>
      <c r="E67" s="110">
        <v>6.5</v>
      </c>
      <c r="F67" s="139">
        <f t="shared" si="9"/>
        <v>0.54166666666666663</v>
      </c>
      <c r="G67" s="111">
        <f>Цены!C16</f>
        <v>213.71</v>
      </c>
      <c r="H67" s="142">
        <f t="shared" si="10"/>
        <v>115.75958333333332</v>
      </c>
      <c r="I67" s="116">
        <f t="shared" si="11"/>
        <v>0</v>
      </c>
      <c r="J67" s="117">
        <f t="shared" si="12"/>
        <v>0</v>
      </c>
      <c r="K67" s="115">
        <f t="shared" si="13"/>
        <v>0</v>
      </c>
    </row>
    <row r="68" spans="1:132" hidden="1">
      <c r="A68" s="108" t="s">
        <v>149</v>
      </c>
      <c r="B68" s="109"/>
      <c r="C68" s="110">
        <v>12</v>
      </c>
      <c r="D68" s="110">
        <v>1</v>
      </c>
      <c r="E68" s="110">
        <v>6.5</v>
      </c>
      <c r="F68" s="139">
        <f t="shared" si="9"/>
        <v>0.54166666666666663</v>
      </c>
      <c r="G68" s="111">
        <f>Цены!C5</f>
        <v>76.41</v>
      </c>
      <c r="H68" s="142">
        <f t="shared" si="10"/>
        <v>41.388749999999995</v>
      </c>
      <c r="I68" s="116">
        <f t="shared" si="11"/>
        <v>0</v>
      </c>
      <c r="J68" s="117">
        <f t="shared" si="12"/>
        <v>0</v>
      </c>
      <c r="K68" s="115">
        <f t="shared" si="13"/>
        <v>0</v>
      </c>
    </row>
    <row r="69" spans="1:132" hidden="1">
      <c r="A69" s="108" t="s">
        <v>151</v>
      </c>
      <c r="B69" s="109"/>
      <c r="C69" s="110">
        <v>12</v>
      </c>
      <c r="D69" s="110">
        <v>44</v>
      </c>
      <c r="E69" s="110">
        <v>6.5</v>
      </c>
      <c r="F69" s="139">
        <f t="shared" si="9"/>
        <v>23.833333333333332</v>
      </c>
      <c r="G69" s="111">
        <f>Цены!C7</f>
        <v>44.24</v>
      </c>
      <c r="H69" s="142">
        <f t="shared" si="10"/>
        <v>1054.3866666666668</v>
      </c>
      <c r="I69" s="116">
        <f t="shared" si="11"/>
        <v>0</v>
      </c>
      <c r="J69" s="117">
        <f t="shared" si="12"/>
        <v>0</v>
      </c>
      <c r="K69" s="115">
        <f t="shared" si="13"/>
        <v>0</v>
      </c>
    </row>
    <row r="70" spans="1:132" hidden="1">
      <c r="A70" s="203" t="s">
        <v>152</v>
      </c>
      <c r="B70" s="99"/>
      <c r="C70" s="110">
        <v>24</v>
      </c>
      <c r="D70" s="110">
        <v>1</v>
      </c>
      <c r="E70" s="110">
        <v>6.5</v>
      </c>
      <c r="F70" s="139">
        <f t="shared" si="9"/>
        <v>0.27083333333333331</v>
      </c>
      <c r="G70" s="111">
        <f>Цены!C8</f>
        <v>2298</v>
      </c>
      <c r="H70" s="142">
        <f t="shared" si="10"/>
        <v>622.375</v>
      </c>
      <c r="I70" s="116">
        <f t="shared" si="11"/>
        <v>0</v>
      </c>
      <c r="J70" s="117">
        <f t="shared" si="12"/>
        <v>0</v>
      </c>
      <c r="K70" s="115">
        <f t="shared" si="13"/>
        <v>0</v>
      </c>
    </row>
    <row r="71" spans="1:132" hidden="1">
      <c r="A71" s="65" t="s">
        <v>162</v>
      </c>
      <c r="B71" s="99"/>
      <c r="C71" s="110">
        <v>24</v>
      </c>
      <c r="D71" s="110">
        <v>1</v>
      </c>
      <c r="E71" s="110">
        <v>6.5</v>
      </c>
      <c r="F71" s="139">
        <f t="shared" si="9"/>
        <v>0.27083333333333331</v>
      </c>
      <c r="G71" s="111">
        <f>Цены!C18</f>
        <v>48.26</v>
      </c>
      <c r="H71" s="142">
        <f t="shared" si="10"/>
        <v>13.070416666666665</v>
      </c>
      <c r="I71" s="116">
        <f t="shared" si="11"/>
        <v>0</v>
      </c>
      <c r="J71" s="204">
        <f t="shared" si="12"/>
        <v>0</v>
      </c>
      <c r="K71" s="115">
        <f t="shared" si="13"/>
        <v>0</v>
      </c>
    </row>
    <row r="72" spans="1:132" s="107" customFormat="1" ht="15.95" hidden="1" customHeight="1">
      <c r="A72" s="205" t="s">
        <v>236</v>
      </c>
      <c r="B72" s="206"/>
      <c r="C72" s="207"/>
      <c r="D72" s="207"/>
      <c r="E72" s="207"/>
      <c r="F72" s="208"/>
      <c r="G72" s="209"/>
      <c r="H72" s="210">
        <f>SUM(H60:H71)</f>
        <v>5264.5308333333332</v>
      </c>
      <c r="I72" s="211"/>
      <c r="J72" s="212"/>
      <c r="K72" s="210">
        <f>SUM(K60:K71)</f>
        <v>0</v>
      </c>
      <c r="L72" s="105"/>
      <c r="M72" s="105"/>
      <c r="N72" s="105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</row>
    <row r="73" spans="1:132" s="13" customFormat="1" ht="15.95" hidden="1" customHeight="1">
      <c r="A73" s="213" t="s">
        <v>237</v>
      </c>
      <c r="B73" s="214"/>
      <c r="C73" s="215"/>
      <c r="D73" s="215"/>
      <c r="E73" s="215"/>
      <c r="F73" s="216"/>
      <c r="G73" s="217"/>
      <c r="H73" s="218">
        <f>H56+H72</f>
        <v>6988.2720833333333</v>
      </c>
      <c r="I73" s="219"/>
      <c r="J73" s="220"/>
      <c r="K73" s="218">
        <f>K56+K72</f>
        <v>0</v>
      </c>
      <c r="L73" s="140"/>
      <c r="M73" s="140"/>
      <c r="N73" s="140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</row>
    <row r="74" spans="1:132" s="149" customFormat="1" ht="33" hidden="1" customHeight="1">
      <c r="A74" s="25" t="s">
        <v>238</v>
      </c>
      <c r="B74" s="221" t="s">
        <v>239</v>
      </c>
      <c r="C74" s="222">
        <v>1000</v>
      </c>
      <c r="D74" s="223"/>
      <c r="E74" s="224"/>
      <c r="F74" s="225"/>
      <c r="G74" s="226"/>
      <c r="H74" s="227"/>
      <c r="I74" s="228"/>
      <c r="J74" s="229"/>
      <c r="K74" s="115" t="e">
        <f>#N/A</f>
        <v>#N/A</v>
      </c>
      <c r="L74" s="90"/>
      <c r="M74" s="90"/>
      <c r="N74" s="90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</row>
    <row r="75" spans="1:132" s="12" customFormat="1" hidden="1">
      <c r="A75" s="230"/>
      <c r="B75" s="231"/>
      <c r="C75" s="232"/>
      <c r="D75" s="232"/>
      <c r="E75" s="232"/>
      <c r="F75" s="232"/>
      <c r="G75" s="233"/>
      <c r="H75" s="234"/>
      <c r="I75" s="235"/>
      <c r="J75" s="233"/>
      <c r="K75" s="234"/>
      <c r="L75" s="34"/>
      <c r="M75" s="34"/>
      <c r="N75" s="34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</row>
    <row r="76" spans="1:132" ht="25.5" hidden="1">
      <c r="A76" s="236" t="s">
        <v>225</v>
      </c>
      <c r="B76" s="237"/>
      <c r="C76" s="94"/>
      <c r="D76" s="94"/>
      <c r="E76" s="94"/>
      <c r="F76" s="130"/>
      <c r="G76" s="132"/>
      <c r="H76" s="133"/>
      <c r="I76" s="238">
        <f>материал!F46</f>
        <v>0</v>
      </c>
      <c r="J76" s="239"/>
      <c r="K76" s="133"/>
    </row>
    <row r="77" spans="1:132" hidden="1">
      <c r="A77" s="108"/>
      <c r="B77" s="109"/>
      <c r="C77" s="110"/>
      <c r="D77" s="110"/>
      <c r="E77" s="110"/>
      <c r="F77" s="110"/>
      <c r="G77" s="111"/>
      <c r="H77" s="112"/>
      <c r="I77" s="116"/>
      <c r="J77" s="111"/>
      <c r="K77" s="112"/>
    </row>
    <row r="78" spans="1:132" hidden="1">
      <c r="A78" s="108" t="s">
        <v>153</v>
      </c>
      <c r="B78" s="109"/>
      <c r="C78" s="110">
        <v>12</v>
      </c>
      <c r="D78" s="110">
        <v>1</v>
      </c>
      <c r="E78" s="110">
        <v>12</v>
      </c>
      <c r="F78" s="110">
        <f>D78/C78*E78</f>
        <v>1</v>
      </c>
      <c r="G78" s="111">
        <f>Цены!C9</f>
        <v>116.05</v>
      </c>
      <c r="H78" s="142">
        <f>F78*G78</f>
        <v>116.05</v>
      </c>
      <c r="I78" s="116">
        <f>I76</f>
        <v>0</v>
      </c>
      <c r="J78" s="117">
        <f>F78*I78</f>
        <v>0</v>
      </c>
      <c r="K78" s="115">
        <v>0</v>
      </c>
    </row>
    <row r="79" spans="1:132" hidden="1">
      <c r="A79" s="108" t="s">
        <v>240</v>
      </c>
      <c r="B79" s="109"/>
      <c r="C79" s="110">
        <v>12</v>
      </c>
      <c r="D79" s="110">
        <v>6</v>
      </c>
      <c r="E79" s="110">
        <v>12</v>
      </c>
      <c r="F79" s="110">
        <f>D79/C79*E79</f>
        <v>6</v>
      </c>
      <c r="G79" s="111">
        <f>Цены!C12</f>
        <v>111.45</v>
      </c>
      <c r="H79" s="142">
        <f>F79*G79</f>
        <v>668.7</v>
      </c>
      <c r="I79" s="116">
        <f>I76</f>
        <v>0</v>
      </c>
      <c r="J79" s="117">
        <f>F79*I79</f>
        <v>0</v>
      </c>
      <c r="K79" s="115"/>
    </row>
    <row r="80" spans="1:132" s="12" customFormat="1" hidden="1">
      <c r="A80" s="108" t="s">
        <v>241</v>
      </c>
      <c r="B80" s="109"/>
      <c r="C80" s="110">
        <v>36</v>
      </c>
      <c r="D80" s="110">
        <v>1</v>
      </c>
      <c r="E80" s="110">
        <v>12</v>
      </c>
      <c r="F80" s="139">
        <f>D80/C80*E80</f>
        <v>0.33333333333333331</v>
      </c>
      <c r="G80" s="111">
        <f>Цены!C14</f>
        <v>838.76</v>
      </c>
      <c r="H80" s="142">
        <f>F80*G80</f>
        <v>279.58666666666664</v>
      </c>
      <c r="I80" s="116">
        <f>I76</f>
        <v>0</v>
      </c>
      <c r="J80" s="117">
        <f>F80*I80</f>
        <v>0</v>
      </c>
      <c r="K80" s="115"/>
      <c r="L80" s="34"/>
      <c r="M80" s="34"/>
      <c r="N80" s="34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  <c r="DF80" s="166"/>
      <c r="DG80" s="166"/>
      <c r="DH80" s="166"/>
      <c r="DI80" s="166"/>
      <c r="DJ80" s="166"/>
      <c r="DK80" s="166"/>
      <c r="DL80" s="166"/>
      <c r="DM80" s="166"/>
      <c r="DN80" s="166"/>
      <c r="DO80" s="166"/>
      <c r="DP80" s="166"/>
      <c r="DQ80" s="166"/>
      <c r="DR80" s="166"/>
      <c r="DS80" s="166"/>
      <c r="DT80" s="166"/>
      <c r="DU80" s="166"/>
      <c r="DV80" s="166"/>
      <c r="DW80" s="166"/>
      <c r="DX80" s="166"/>
      <c r="DY80" s="166"/>
      <c r="DZ80" s="166"/>
      <c r="EA80" s="166"/>
      <c r="EB80" s="166"/>
    </row>
    <row r="81" spans="1:132" hidden="1">
      <c r="A81" s="108" t="s">
        <v>242</v>
      </c>
      <c r="B81" s="109"/>
      <c r="C81" s="110">
        <v>12</v>
      </c>
      <c r="D81" s="110">
        <v>12</v>
      </c>
      <c r="E81" s="110">
        <v>12</v>
      </c>
      <c r="F81" s="110">
        <f>D81/C81*E81</f>
        <v>12</v>
      </c>
      <c r="G81" s="111">
        <f>Цены!C15</f>
        <v>448.11</v>
      </c>
      <c r="H81" s="142">
        <f>F81*G81</f>
        <v>5377.32</v>
      </c>
      <c r="I81" s="116">
        <f>I76</f>
        <v>0</v>
      </c>
      <c r="J81" s="117">
        <f>F81*I81</f>
        <v>0</v>
      </c>
      <c r="K81" s="115"/>
    </row>
    <row r="82" spans="1:132" s="13" customFormat="1" ht="19.7" hidden="1" customHeight="1">
      <c r="A82" s="122" t="s">
        <v>222</v>
      </c>
      <c r="B82" s="123"/>
      <c r="C82" s="124"/>
      <c r="D82" s="124"/>
      <c r="E82" s="124"/>
      <c r="F82" s="124"/>
      <c r="G82" s="125"/>
      <c r="H82" s="126">
        <f>SUM(H78:H81)</f>
        <v>6441.6566666666658</v>
      </c>
      <c r="I82" s="127"/>
      <c r="J82" s="125"/>
      <c r="K82" s="126"/>
      <c r="L82" s="140"/>
      <c r="M82" s="140"/>
      <c r="N82" s="140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</row>
    <row r="83" spans="1:132" s="248" customFormat="1" ht="41.45" hidden="1" customHeight="1">
      <c r="A83" s="240" t="s">
        <v>243</v>
      </c>
      <c r="B83" s="241"/>
      <c r="C83" s="242"/>
      <c r="D83" s="242"/>
      <c r="E83" s="242"/>
      <c r="F83" s="242"/>
      <c r="G83" s="243"/>
      <c r="H83" s="244"/>
      <c r="I83" s="245"/>
      <c r="J83" s="243"/>
      <c r="K83" s="244"/>
      <c r="L83" s="246"/>
      <c r="M83" s="246"/>
      <c r="N83" s="246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247"/>
      <c r="AR83" s="247"/>
      <c r="AS83" s="247"/>
      <c r="AT83" s="247"/>
      <c r="AU83" s="247"/>
      <c r="AV83" s="247"/>
      <c r="AW83" s="247"/>
      <c r="AX83" s="247"/>
      <c r="AY83" s="247"/>
      <c r="AZ83" s="247"/>
      <c r="BA83" s="247"/>
      <c r="BB83" s="247"/>
      <c r="BC83" s="247"/>
      <c r="BD83" s="247"/>
      <c r="BE83" s="247"/>
      <c r="BF83" s="247"/>
      <c r="BG83" s="247"/>
      <c r="BH83" s="247"/>
      <c r="BI83" s="247"/>
      <c r="BJ83" s="247"/>
      <c r="BK83" s="247"/>
      <c r="BL83" s="247"/>
      <c r="BM83" s="247"/>
      <c r="BN83" s="247"/>
      <c r="BO83" s="247"/>
      <c r="BP83" s="247"/>
      <c r="BQ83" s="247"/>
      <c r="BR83" s="247"/>
      <c r="BS83" s="247"/>
      <c r="BT83" s="247"/>
      <c r="BU83" s="247"/>
      <c r="BV83" s="247"/>
      <c r="BW83" s="247"/>
      <c r="BX83" s="247"/>
      <c r="BY83" s="247"/>
      <c r="BZ83" s="247"/>
      <c r="CA83" s="247"/>
      <c r="CB83" s="247"/>
      <c r="CC83" s="247"/>
      <c r="CD83" s="247"/>
      <c r="CE83" s="247"/>
      <c r="CF83" s="247"/>
      <c r="CG83" s="247"/>
      <c r="CH83" s="247"/>
      <c r="CI83" s="247"/>
      <c r="CJ83" s="247"/>
      <c r="CK83" s="247"/>
      <c r="CL83" s="247"/>
      <c r="CM83" s="247"/>
      <c r="CN83" s="247"/>
      <c r="CO83" s="247"/>
      <c r="CP83" s="247"/>
      <c r="CQ83" s="247"/>
      <c r="CR83" s="247"/>
      <c r="CS83" s="247"/>
      <c r="CT83" s="247"/>
      <c r="CU83" s="247"/>
      <c r="CV83" s="247"/>
      <c r="CW83" s="247"/>
      <c r="CX83" s="247"/>
      <c r="CY83" s="247"/>
      <c r="CZ83" s="247"/>
      <c r="DA83" s="247"/>
      <c r="DB83" s="247"/>
      <c r="DC83" s="247"/>
      <c r="DD83" s="247"/>
      <c r="DE83" s="247"/>
      <c r="DF83" s="247"/>
      <c r="DG83" s="247"/>
      <c r="DH83" s="247"/>
      <c r="DI83" s="247"/>
      <c r="DJ83" s="247"/>
      <c r="DK83" s="247"/>
      <c r="DL83" s="247"/>
      <c r="DM83" s="247"/>
      <c r="DN83" s="247"/>
      <c r="DO83" s="247"/>
      <c r="DP83" s="247"/>
      <c r="DQ83" s="247"/>
      <c r="DR83" s="247"/>
      <c r="DS83" s="247"/>
      <c r="DT83" s="247"/>
      <c r="DU83" s="247"/>
      <c r="DV83" s="247"/>
      <c r="DW83" s="247"/>
      <c r="DX83" s="247"/>
      <c r="DY83" s="247"/>
      <c r="DZ83" s="247"/>
      <c r="EA83" s="247"/>
      <c r="EB83" s="247"/>
    </row>
    <row r="84" spans="1:132" s="248" customFormat="1" ht="35.25" hidden="1" customHeight="1">
      <c r="A84" s="249" t="s">
        <v>244</v>
      </c>
      <c r="B84" s="250"/>
      <c r="C84" s="251"/>
      <c r="D84" s="251"/>
      <c r="E84" s="251"/>
      <c r="F84" s="251"/>
      <c r="G84" s="252"/>
      <c r="H84" s="253"/>
      <c r="I84" s="254"/>
      <c r="J84" s="252"/>
      <c r="K84" s="255"/>
      <c r="L84" s="246"/>
      <c r="M84" s="246"/>
      <c r="N84" s="246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7"/>
      <c r="AX84" s="247"/>
      <c r="AY84" s="247"/>
      <c r="AZ84" s="247"/>
      <c r="BA84" s="247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  <c r="BN84" s="247"/>
      <c r="BO84" s="247"/>
      <c r="BP84" s="247"/>
      <c r="BQ84" s="247"/>
      <c r="BR84" s="247"/>
      <c r="BS84" s="247"/>
      <c r="BT84" s="247"/>
      <c r="BU84" s="247"/>
      <c r="BV84" s="247"/>
      <c r="BW84" s="247"/>
      <c r="BX84" s="247"/>
      <c r="BY84" s="247"/>
      <c r="BZ84" s="247"/>
      <c r="CA84" s="247"/>
      <c r="CB84" s="247"/>
      <c r="CC84" s="247"/>
      <c r="CD84" s="247"/>
      <c r="CE84" s="247"/>
      <c r="CF84" s="247"/>
      <c r="CG84" s="247"/>
      <c r="CH84" s="247"/>
      <c r="CI84" s="247"/>
      <c r="CJ84" s="247"/>
      <c r="CK84" s="247"/>
      <c r="CL84" s="247"/>
      <c r="CM84" s="247"/>
      <c r="CN84" s="247"/>
      <c r="CO84" s="247"/>
      <c r="CP84" s="247"/>
      <c r="CQ84" s="247"/>
      <c r="CR84" s="247"/>
      <c r="CS84" s="247"/>
      <c r="CT84" s="247"/>
      <c r="CU84" s="247"/>
      <c r="CV84" s="247"/>
      <c r="CW84" s="247"/>
      <c r="CX84" s="247"/>
      <c r="CY84" s="247"/>
      <c r="CZ84" s="247"/>
      <c r="DA84" s="247"/>
      <c r="DB84" s="247"/>
      <c r="DC84" s="247"/>
      <c r="DD84" s="247"/>
      <c r="DE84" s="247"/>
      <c r="DF84" s="247"/>
      <c r="DG84" s="247"/>
      <c r="DH84" s="247"/>
      <c r="DI84" s="247"/>
      <c r="DJ84" s="247"/>
      <c r="DK84" s="247"/>
      <c r="DL84" s="247"/>
      <c r="DM84" s="247"/>
      <c r="DN84" s="247"/>
      <c r="DO84" s="247"/>
      <c r="DP84" s="247"/>
      <c r="DQ84" s="247"/>
      <c r="DR84" s="247"/>
      <c r="DS84" s="247"/>
      <c r="DT84" s="247"/>
      <c r="DU84" s="247"/>
      <c r="DV84" s="247"/>
      <c r="DW84" s="247"/>
      <c r="DX84" s="247"/>
      <c r="DY84" s="247"/>
      <c r="DZ84" s="247"/>
      <c r="EA84" s="247"/>
      <c r="EB84" s="247"/>
    </row>
    <row r="85" spans="1:132" s="10" customFormat="1" ht="30" hidden="1" customHeight="1">
      <c r="A85" s="138" t="s">
        <v>245</v>
      </c>
      <c r="B85" s="256" t="s">
        <v>246</v>
      </c>
      <c r="C85" s="222">
        <v>1</v>
      </c>
      <c r="D85" s="222">
        <v>0.02</v>
      </c>
      <c r="E85" s="222">
        <v>183</v>
      </c>
      <c r="F85" s="257">
        <f>D85/C85*E85</f>
        <v>3.66</v>
      </c>
      <c r="G85" s="258">
        <f>Цены!C25</f>
        <v>74.06</v>
      </c>
      <c r="H85" s="142">
        <f>F85*G85</f>
        <v>271.05960000000005</v>
      </c>
      <c r="I85" s="259">
        <f>'Исх. дан.'!D44</f>
        <v>0</v>
      </c>
      <c r="J85" s="117">
        <f>F85*I85</f>
        <v>0</v>
      </c>
      <c r="K85" s="115">
        <f>H85*I85</f>
        <v>0</v>
      </c>
      <c r="L85" s="77"/>
      <c r="M85" s="77"/>
      <c r="N85" s="78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260"/>
      <c r="AQ85" s="260"/>
      <c r="AR85" s="260"/>
      <c r="AS85" s="260"/>
      <c r="AT85" s="260"/>
      <c r="AU85" s="260"/>
      <c r="AV85" s="260"/>
      <c r="AW85" s="260"/>
      <c r="AX85" s="260"/>
      <c r="AY85" s="260"/>
      <c r="AZ85" s="260"/>
      <c r="BA85" s="260"/>
      <c r="BB85" s="260"/>
      <c r="BC85" s="260"/>
      <c r="BD85" s="260"/>
      <c r="BE85" s="260"/>
      <c r="BF85" s="260"/>
      <c r="BG85" s="260"/>
      <c r="BH85" s="260"/>
      <c r="BI85" s="260"/>
      <c r="BJ85" s="260"/>
      <c r="BK85" s="260"/>
      <c r="BL85" s="260"/>
      <c r="BM85" s="260"/>
      <c r="BN85" s="260"/>
      <c r="BO85" s="260"/>
      <c r="BP85" s="260"/>
      <c r="BQ85" s="260"/>
      <c r="BR85" s="260"/>
      <c r="BS85" s="260"/>
      <c r="BT85" s="260"/>
      <c r="BU85" s="260"/>
      <c r="BV85" s="260"/>
      <c r="BW85" s="260"/>
      <c r="BX85" s="260"/>
      <c r="BY85" s="260"/>
      <c r="BZ85" s="260"/>
      <c r="CA85" s="260"/>
      <c r="CB85" s="260"/>
      <c r="CC85" s="260"/>
      <c r="CD85" s="260"/>
      <c r="CE85" s="260"/>
      <c r="CF85" s="260"/>
      <c r="CG85" s="260"/>
      <c r="CH85" s="260"/>
      <c r="CI85" s="260"/>
      <c r="CJ85" s="260"/>
      <c r="CK85" s="260"/>
      <c r="CL85" s="260"/>
      <c r="CM85" s="260"/>
      <c r="CN85" s="260"/>
      <c r="CO85" s="260"/>
      <c r="CP85" s="260"/>
      <c r="CQ85" s="260"/>
      <c r="CR85" s="260"/>
      <c r="CS85" s="260"/>
      <c r="CT85" s="260"/>
      <c r="CU85" s="260"/>
      <c r="CV85" s="260"/>
      <c r="CW85" s="260"/>
      <c r="CX85" s="260"/>
      <c r="CY85" s="260"/>
      <c r="CZ85" s="260"/>
      <c r="DA85" s="260"/>
      <c r="DB85" s="260"/>
      <c r="DC85" s="260"/>
      <c r="DD85" s="260"/>
      <c r="DE85" s="260"/>
      <c r="DF85" s="260"/>
      <c r="DG85" s="260"/>
      <c r="DH85" s="260"/>
      <c r="DI85" s="260"/>
      <c r="DJ85" s="260"/>
      <c r="DK85" s="260"/>
      <c r="DL85" s="260"/>
      <c r="DM85" s="260"/>
      <c r="DN85" s="260"/>
      <c r="DO85" s="260"/>
      <c r="DP85" s="260"/>
      <c r="DQ85" s="260"/>
      <c r="DR85" s="260"/>
      <c r="DS85" s="260"/>
      <c r="DT85" s="260"/>
      <c r="DU85" s="260"/>
      <c r="DV85" s="260"/>
      <c r="DW85" s="260"/>
      <c r="DX85" s="260"/>
      <c r="DY85" s="260"/>
      <c r="DZ85" s="260"/>
      <c r="EA85" s="260"/>
      <c r="EB85" s="260"/>
    </row>
    <row r="86" spans="1:132" s="10" customFormat="1" ht="25.5" hidden="1">
      <c r="A86" s="261" t="s">
        <v>247</v>
      </c>
      <c r="B86" s="145"/>
      <c r="C86" s="172"/>
      <c r="D86" s="172"/>
      <c r="E86" s="172"/>
      <c r="F86" s="262"/>
      <c r="G86" s="258"/>
      <c r="H86" s="115"/>
      <c r="I86" s="259"/>
      <c r="J86" s="117"/>
      <c r="K86" s="115"/>
      <c r="L86" s="77"/>
      <c r="M86" s="77"/>
      <c r="N86" s="78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260"/>
      <c r="AX86" s="260"/>
      <c r="AY86" s="260"/>
      <c r="AZ86" s="260"/>
      <c r="BA86" s="260"/>
      <c r="BB86" s="260"/>
      <c r="BC86" s="260"/>
      <c r="BD86" s="260"/>
      <c r="BE86" s="260"/>
      <c r="BF86" s="260"/>
      <c r="BG86" s="260"/>
      <c r="BH86" s="260"/>
      <c r="BI86" s="260"/>
      <c r="BJ86" s="260"/>
      <c r="BK86" s="260"/>
      <c r="BL86" s="260"/>
      <c r="BM86" s="260"/>
      <c r="BN86" s="260"/>
      <c r="BO86" s="260"/>
      <c r="BP86" s="260"/>
      <c r="BQ86" s="260"/>
      <c r="BR86" s="260"/>
      <c r="BS86" s="260"/>
      <c r="BT86" s="260"/>
      <c r="BU86" s="260"/>
      <c r="BV86" s="260"/>
      <c r="BW86" s="260"/>
      <c r="BX86" s="260"/>
      <c r="BY86" s="260"/>
      <c r="BZ86" s="260"/>
      <c r="CA86" s="260"/>
      <c r="CB86" s="260"/>
      <c r="CC86" s="260"/>
      <c r="CD86" s="260"/>
      <c r="CE86" s="260"/>
      <c r="CF86" s="260"/>
      <c r="CG86" s="260"/>
      <c r="CH86" s="260"/>
      <c r="CI86" s="260"/>
      <c r="CJ86" s="260"/>
      <c r="CK86" s="260"/>
      <c r="CL86" s="260"/>
      <c r="CM86" s="260"/>
      <c r="CN86" s="260"/>
      <c r="CO86" s="260"/>
      <c r="CP86" s="260"/>
      <c r="CQ86" s="260"/>
      <c r="CR86" s="260"/>
      <c r="CS86" s="260"/>
      <c r="CT86" s="260"/>
      <c r="CU86" s="260"/>
      <c r="CV86" s="260"/>
      <c r="CW86" s="260"/>
      <c r="CX86" s="260"/>
      <c r="CY86" s="260"/>
      <c r="CZ86" s="260"/>
      <c r="DA86" s="260"/>
      <c r="DB86" s="260"/>
      <c r="DC86" s="260"/>
      <c r="DD86" s="260"/>
      <c r="DE86" s="260"/>
      <c r="DF86" s="260"/>
      <c r="DG86" s="260"/>
      <c r="DH86" s="260"/>
      <c r="DI86" s="260"/>
      <c r="DJ86" s="260"/>
      <c r="DK86" s="260"/>
      <c r="DL86" s="260"/>
      <c r="DM86" s="260"/>
      <c r="DN86" s="260"/>
      <c r="DO86" s="260"/>
      <c r="DP86" s="260"/>
      <c r="DQ86" s="260"/>
      <c r="DR86" s="260"/>
      <c r="DS86" s="260"/>
      <c r="DT86" s="260"/>
      <c r="DU86" s="260"/>
      <c r="DV86" s="260"/>
      <c r="DW86" s="260"/>
      <c r="DX86" s="260"/>
      <c r="DY86" s="260"/>
      <c r="DZ86" s="260"/>
      <c r="EA86" s="260"/>
      <c r="EB86" s="260"/>
    </row>
    <row r="87" spans="1:132" s="10" customFormat="1" ht="38.25" hidden="1">
      <c r="A87" s="138" t="s">
        <v>248</v>
      </c>
      <c r="B87" s="256" t="s">
        <v>249</v>
      </c>
      <c r="C87" s="222">
        <v>10</v>
      </c>
      <c r="D87" s="222">
        <v>0.2</v>
      </c>
      <c r="E87" s="222">
        <v>52</v>
      </c>
      <c r="F87" s="257">
        <f>D87/C87*E87</f>
        <v>1.04</v>
      </c>
      <c r="G87" s="258">
        <f>Цены!C25</f>
        <v>74.06</v>
      </c>
      <c r="H87" s="142">
        <f>F87*G87</f>
        <v>77.022400000000005</v>
      </c>
      <c r="I87" s="259">
        <f>'Исх. дан.'!D45</f>
        <v>0</v>
      </c>
      <c r="J87" s="117">
        <f>F87*I87</f>
        <v>0</v>
      </c>
      <c r="K87" s="115">
        <f>H87*I87</f>
        <v>0</v>
      </c>
      <c r="L87" s="77"/>
      <c r="M87" s="77"/>
      <c r="N87" s="78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  <c r="AO87" s="260"/>
      <c r="AP87" s="260"/>
      <c r="AQ87" s="260"/>
      <c r="AR87" s="260"/>
      <c r="AS87" s="260"/>
      <c r="AT87" s="260"/>
      <c r="AU87" s="260"/>
      <c r="AV87" s="260"/>
      <c r="AW87" s="260"/>
      <c r="AX87" s="260"/>
      <c r="AY87" s="260"/>
      <c r="AZ87" s="260"/>
      <c r="BA87" s="260"/>
      <c r="BB87" s="260"/>
      <c r="BC87" s="260"/>
      <c r="BD87" s="260"/>
      <c r="BE87" s="260"/>
      <c r="BF87" s="260"/>
      <c r="BG87" s="260"/>
      <c r="BH87" s="260"/>
      <c r="BI87" s="260"/>
      <c r="BJ87" s="260"/>
      <c r="BK87" s="260"/>
      <c r="BL87" s="260"/>
      <c r="BM87" s="260"/>
      <c r="BN87" s="260"/>
      <c r="BO87" s="260"/>
      <c r="BP87" s="260"/>
      <c r="BQ87" s="260"/>
      <c r="BR87" s="260"/>
      <c r="BS87" s="260"/>
      <c r="BT87" s="260"/>
      <c r="BU87" s="260"/>
      <c r="BV87" s="260"/>
      <c r="BW87" s="260"/>
      <c r="BX87" s="260"/>
      <c r="BY87" s="260"/>
      <c r="BZ87" s="260"/>
      <c r="CA87" s="260"/>
      <c r="CB87" s="260"/>
      <c r="CC87" s="260"/>
      <c r="CD87" s="260"/>
      <c r="CE87" s="260"/>
      <c r="CF87" s="260"/>
      <c r="CG87" s="260"/>
      <c r="CH87" s="260"/>
      <c r="CI87" s="260"/>
      <c r="CJ87" s="260"/>
      <c r="CK87" s="260"/>
      <c r="CL87" s="260"/>
      <c r="CM87" s="260"/>
      <c r="CN87" s="260"/>
      <c r="CO87" s="260"/>
      <c r="CP87" s="260"/>
      <c r="CQ87" s="260"/>
      <c r="CR87" s="260"/>
      <c r="CS87" s="260"/>
      <c r="CT87" s="260"/>
      <c r="CU87" s="260"/>
      <c r="CV87" s="260"/>
      <c r="CW87" s="260"/>
      <c r="CX87" s="260"/>
      <c r="CY87" s="260"/>
      <c r="CZ87" s="260"/>
      <c r="DA87" s="260"/>
      <c r="DB87" s="260"/>
      <c r="DC87" s="260"/>
      <c r="DD87" s="260"/>
      <c r="DE87" s="260"/>
      <c r="DF87" s="260"/>
      <c r="DG87" s="260"/>
      <c r="DH87" s="260"/>
      <c r="DI87" s="260"/>
      <c r="DJ87" s="260"/>
      <c r="DK87" s="260"/>
      <c r="DL87" s="260"/>
      <c r="DM87" s="260"/>
      <c r="DN87" s="260"/>
      <c r="DO87" s="260"/>
      <c r="DP87" s="260"/>
      <c r="DQ87" s="260"/>
      <c r="DR87" s="260"/>
      <c r="DS87" s="260"/>
      <c r="DT87" s="260"/>
      <c r="DU87" s="260"/>
      <c r="DV87" s="260"/>
      <c r="DW87" s="260"/>
      <c r="DX87" s="260"/>
      <c r="DY87" s="260"/>
      <c r="DZ87" s="260"/>
      <c r="EA87" s="260"/>
      <c r="EB87" s="260"/>
    </row>
    <row r="88" spans="1:132" s="10" customFormat="1" ht="28.5" hidden="1" customHeight="1">
      <c r="A88" s="261" t="s">
        <v>250</v>
      </c>
      <c r="B88" s="145"/>
      <c r="C88" s="263"/>
      <c r="D88" s="263"/>
      <c r="E88" s="263"/>
      <c r="F88" s="262"/>
      <c r="G88" s="258"/>
      <c r="H88" s="115"/>
      <c r="I88" s="259"/>
      <c r="J88" s="117"/>
      <c r="K88" s="115"/>
      <c r="L88" s="77"/>
      <c r="M88" s="77"/>
      <c r="N88" s="78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  <c r="AO88" s="260"/>
      <c r="AP88" s="260"/>
      <c r="AQ88" s="260"/>
      <c r="AR88" s="260"/>
      <c r="AS88" s="260"/>
      <c r="AT88" s="260"/>
      <c r="AU88" s="260"/>
      <c r="AV88" s="260"/>
      <c r="AW88" s="260"/>
      <c r="AX88" s="260"/>
      <c r="AY88" s="260"/>
      <c r="AZ88" s="260"/>
      <c r="BA88" s="260"/>
      <c r="BB88" s="260"/>
      <c r="BC88" s="260"/>
      <c r="BD88" s="260"/>
      <c r="BE88" s="260"/>
      <c r="BF88" s="260"/>
      <c r="BG88" s="260"/>
      <c r="BH88" s="260"/>
      <c r="BI88" s="260"/>
      <c r="BJ88" s="260"/>
      <c r="BK88" s="260"/>
      <c r="BL88" s="260"/>
      <c r="BM88" s="260"/>
      <c r="BN88" s="260"/>
      <c r="BO88" s="260"/>
      <c r="BP88" s="260"/>
      <c r="BQ88" s="260"/>
      <c r="BR88" s="260"/>
      <c r="BS88" s="260"/>
      <c r="BT88" s="260"/>
      <c r="BU88" s="260"/>
      <c r="BV88" s="260"/>
      <c r="BW88" s="260"/>
      <c r="BX88" s="260"/>
      <c r="BY88" s="260"/>
      <c r="BZ88" s="260"/>
      <c r="CA88" s="260"/>
      <c r="CB88" s="260"/>
      <c r="CC88" s="260"/>
      <c r="CD88" s="260"/>
      <c r="CE88" s="260"/>
      <c r="CF88" s="260"/>
      <c r="CG88" s="260"/>
      <c r="CH88" s="260"/>
      <c r="CI88" s="260"/>
      <c r="CJ88" s="260"/>
      <c r="CK88" s="260"/>
      <c r="CL88" s="260"/>
      <c r="CM88" s="260"/>
      <c r="CN88" s="260"/>
      <c r="CO88" s="260"/>
      <c r="CP88" s="260"/>
      <c r="CQ88" s="260"/>
      <c r="CR88" s="260"/>
      <c r="CS88" s="260"/>
      <c r="CT88" s="260"/>
      <c r="CU88" s="260"/>
      <c r="CV88" s="260"/>
      <c r="CW88" s="260"/>
      <c r="CX88" s="260"/>
      <c r="CY88" s="260"/>
      <c r="CZ88" s="260"/>
      <c r="DA88" s="260"/>
      <c r="DB88" s="260"/>
      <c r="DC88" s="260"/>
      <c r="DD88" s="260"/>
      <c r="DE88" s="260"/>
      <c r="DF88" s="260"/>
      <c r="DG88" s="260"/>
      <c r="DH88" s="260"/>
      <c r="DI88" s="260"/>
      <c r="DJ88" s="260"/>
      <c r="DK88" s="260"/>
      <c r="DL88" s="260"/>
      <c r="DM88" s="260"/>
      <c r="DN88" s="260"/>
      <c r="DO88" s="260"/>
      <c r="DP88" s="260"/>
      <c r="DQ88" s="260"/>
      <c r="DR88" s="260"/>
      <c r="DS88" s="260"/>
      <c r="DT88" s="260"/>
      <c r="DU88" s="260"/>
      <c r="DV88" s="260"/>
      <c r="DW88" s="260"/>
      <c r="DX88" s="260"/>
      <c r="DY88" s="260"/>
      <c r="DZ88" s="260"/>
      <c r="EA88" s="260"/>
      <c r="EB88" s="260"/>
    </row>
    <row r="89" spans="1:132" s="10" customFormat="1" ht="38.25" hidden="1">
      <c r="A89" s="138" t="s">
        <v>251</v>
      </c>
      <c r="B89" s="256" t="s">
        <v>252</v>
      </c>
      <c r="C89" s="222">
        <v>100</v>
      </c>
      <c r="D89" s="222">
        <v>1.5</v>
      </c>
      <c r="E89" s="222">
        <v>12</v>
      </c>
      <c r="F89" s="257">
        <f>D89/C89*E89</f>
        <v>0.18</v>
      </c>
      <c r="G89" s="258">
        <f>Цены!C25</f>
        <v>74.06</v>
      </c>
      <c r="H89" s="142">
        <f>F89*G89</f>
        <v>13.3308</v>
      </c>
      <c r="I89" s="259">
        <f>'Исх. дан.'!D47</f>
        <v>0</v>
      </c>
      <c r="J89" s="117">
        <f>F89*I89</f>
        <v>0</v>
      </c>
      <c r="K89" s="115">
        <f>H89*I89</f>
        <v>0</v>
      </c>
      <c r="L89" s="77"/>
      <c r="M89" s="77"/>
      <c r="N89" s="78"/>
      <c r="O89" s="260"/>
      <c r="P89" s="260"/>
      <c r="Q89" s="260"/>
      <c r="R89" s="260"/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  <c r="AO89" s="260"/>
      <c r="AP89" s="260"/>
      <c r="AQ89" s="260"/>
      <c r="AR89" s="260"/>
      <c r="AS89" s="260"/>
      <c r="AT89" s="260"/>
      <c r="AU89" s="260"/>
      <c r="AV89" s="260"/>
      <c r="AW89" s="260"/>
      <c r="AX89" s="260"/>
      <c r="AY89" s="260"/>
      <c r="AZ89" s="260"/>
      <c r="BA89" s="260"/>
      <c r="BB89" s="260"/>
      <c r="BC89" s="260"/>
      <c r="BD89" s="260"/>
      <c r="BE89" s="260"/>
      <c r="BF89" s="260"/>
      <c r="BG89" s="260"/>
      <c r="BH89" s="260"/>
      <c r="BI89" s="260"/>
      <c r="BJ89" s="260"/>
      <c r="BK89" s="260"/>
      <c r="BL89" s="260"/>
      <c r="BM89" s="260"/>
      <c r="BN89" s="260"/>
      <c r="BO89" s="260"/>
      <c r="BP89" s="260"/>
      <c r="BQ89" s="260"/>
      <c r="BR89" s="260"/>
      <c r="BS89" s="260"/>
      <c r="BT89" s="260"/>
      <c r="BU89" s="260"/>
      <c r="BV89" s="260"/>
      <c r="BW89" s="260"/>
      <c r="BX89" s="260"/>
      <c r="BY89" s="260"/>
      <c r="BZ89" s="260"/>
      <c r="CA89" s="260"/>
      <c r="CB89" s="260"/>
      <c r="CC89" s="260"/>
      <c r="CD89" s="260"/>
      <c r="CE89" s="260"/>
      <c r="CF89" s="260"/>
      <c r="CG89" s="260"/>
      <c r="CH89" s="260"/>
      <c r="CI89" s="260"/>
      <c r="CJ89" s="260"/>
      <c r="CK89" s="260"/>
      <c r="CL89" s="260"/>
      <c r="CM89" s="260"/>
      <c r="CN89" s="260"/>
      <c r="CO89" s="260"/>
      <c r="CP89" s="260"/>
      <c r="CQ89" s="260"/>
      <c r="CR89" s="260"/>
      <c r="CS89" s="260"/>
      <c r="CT89" s="260"/>
      <c r="CU89" s="260"/>
      <c r="CV89" s="260"/>
      <c r="CW89" s="260"/>
      <c r="CX89" s="260"/>
      <c r="CY89" s="260"/>
      <c r="CZ89" s="260"/>
      <c r="DA89" s="260"/>
      <c r="DB89" s="260"/>
      <c r="DC89" s="260"/>
      <c r="DD89" s="260"/>
      <c r="DE89" s="260"/>
      <c r="DF89" s="260"/>
      <c r="DG89" s="260"/>
      <c r="DH89" s="260"/>
      <c r="DI89" s="260"/>
      <c r="DJ89" s="260"/>
      <c r="DK89" s="260"/>
      <c r="DL89" s="260"/>
      <c r="DM89" s="260"/>
      <c r="DN89" s="260"/>
      <c r="DO89" s="260"/>
      <c r="DP89" s="260"/>
      <c r="DQ89" s="260"/>
      <c r="DR89" s="260"/>
      <c r="DS89" s="260"/>
      <c r="DT89" s="260"/>
      <c r="DU89" s="260"/>
      <c r="DV89" s="260"/>
      <c r="DW89" s="260"/>
      <c r="DX89" s="260"/>
      <c r="DY89" s="260"/>
      <c r="DZ89" s="260"/>
      <c r="EA89" s="260"/>
      <c r="EB89" s="260"/>
    </row>
    <row r="90" spans="1:132" hidden="1">
      <c r="A90" s="264"/>
      <c r="B90" s="265"/>
      <c r="C90" s="266"/>
      <c r="D90" s="266"/>
      <c r="E90" s="266"/>
      <c r="F90" s="120"/>
      <c r="G90" s="121"/>
      <c r="H90" s="115"/>
      <c r="I90" s="267"/>
      <c r="J90" s="268"/>
      <c r="K90" s="115"/>
    </row>
    <row r="91" spans="1:132" s="149" customFormat="1" ht="25.5" hidden="1">
      <c r="A91" s="269" t="s">
        <v>253</v>
      </c>
      <c r="B91" s="270"/>
      <c r="C91" s="271"/>
      <c r="D91" s="271"/>
      <c r="E91" s="271"/>
      <c r="F91" s="272"/>
      <c r="G91" s="273"/>
      <c r="H91" s="274">
        <v>0</v>
      </c>
      <c r="I91" s="275"/>
      <c r="J91" s="276"/>
      <c r="K91" s="274">
        <f>SUM(K85:K90)</f>
        <v>0</v>
      </c>
      <c r="L91" s="90"/>
      <c r="M91" s="90"/>
      <c r="N91" s="90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48"/>
      <c r="DV91" s="148"/>
      <c r="DW91" s="148"/>
      <c r="DX91" s="148"/>
      <c r="DY91" s="148"/>
      <c r="DZ91" s="148"/>
      <c r="EA91" s="148"/>
      <c r="EB91" s="148"/>
    </row>
    <row r="92" spans="1:132" s="149" customFormat="1" hidden="1">
      <c r="A92" s="277"/>
      <c r="B92" s="278"/>
      <c r="C92" s="279"/>
      <c r="D92" s="279"/>
      <c r="E92" s="279"/>
      <c r="F92" s="280"/>
      <c r="G92" s="281"/>
      <c r="H92" s="282"/>
      <c r="I92" s="283"/>
      <c r="J92" s="284"/>
      <c r="K92" s="282"/>
      <c r="L92" s="90"/>
      <c r="M92" s="90"/>
      <c r="N92" s="90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</row>
    <row r="93" spans="1:132" s="12" customFormat="1" ht="31.5" hidden="1">
      <c r="A93" s="285" t="s">
        <v>254</v>
      </c>
      <c r="B93" s="286"/>
      <c r="C93" s="266"/>
      <c r="D93" s="266"/>
      <c r="E93" s="266"/>
      <c r="F93" s="266"/>
      <c r="G93" s="176"/>
      <c r="H93" s="287"/>
      <c r="I93" s="178"/>
      <c r="J93" s="176"/>
      <c r="K93" s="287"/>
      <c r="L93" s="34"/>
      <c r="M93" s="34"/>
      <c r="N93" s="34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66"/>
      <c r="DK93" s="166"/>
      <c r="DL93" s="166"/>
      <c r="DM93" s="166"/>
      <c r="DN93" s="166"/>
      <c r="DO93" s="166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166"/>
      <c r="EB93" s="166"/>
    </row>
    <row r="94" spans="1:132" s="12" customFormat="1" hidden="1">
      <c r="A94" s="288" t="s">
        <v>255</v>
      </c>
      <c r="B94" s="286"/>
      <c r="C94" s="266"/>
      <c r="D94" s="266"/>
      <c r="E94" s="266"/>
      <c r="F94" s="266"/>
      <c r="G94" s="176"/>
      <c r="H94" s="287"/>
      <c r="I94" s="178"/>
      <c r="J94" s="176"/>
      <c r="K94" s="287"/>
      <c r="L94" s="34"/>
      <c r="M94" s="34"/>
      <c r="N94" s="34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166"/>
      <c r="DI94" s="166"/>
      <c r="DJ94" s="166"/>
      <c r="DK94" s="166"/>
      <c r="DL94" s="166"/>
      <c r="DM94" s="166"/>
      <c r="DN94" s="166"/>
      <c r="DO94" s="166"/>
      <c r="DP94" s="166"/>
      <c r="DQ94" s="166"/>
      <c r="DR94" s="166"/>
      <c r="DS94" s="166"/>
      <c r="DT94" s="166"/>
      <c r="DU94" s="166"/>
      <c r="DV94" s="166"/>
      <c r="DW94" s="166"/>
      <c r="DX94" s="166"/>
      <c r="DY94" s="166"/>
      <c r="DZ94" s="166"/>
      <c r="EA94" s="166"/>
      <c r="EB94" s="166"/>
    </row>
    <row r="95" spans="1:132" s="107" customFormat="1" hidden="1">
      <c r="A95" s="110" t="s">
        <v>170</v>
      </c>
      <c r="B95" s="265" t="s">
        <v>256</v>
      </c>
      <c r="C95" s="110">
        <v>2</v>
      </c>
      <c r="D95" s="110">
        <v>1</v>
      </c>
      <c r="E95" s="110">
        <v>12</v>
      </c>
      <c r="F95" s="139">
        <f>D95/C95*E95</f>
        <v>6</v>
      </c>
      <c r="G95" s="111">
        <f>Цены!C26</f>
        <v>45.2</v>
      </c>
      <c r="H95" s="115">
        <f>F95*G95</f>
        <v>271.20000000000005</v>
      </c>
      <c r="I95" s="116">
        <f>материал!F33</f>
        <v>0</v>
      </c>
      <c r="J95" s="117">
        <f>F95*I95</f>
        <v>0</v>
      </c>
      <c r="K95" s="115">
        <f>H95*I95</f>
        <v>0</v>
      </c>
      <c r="L95" s="105"/>
      <c r="M95" s="105"/>
      <c r="N95" s="105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</row>
    <row r="96" spans="1:132" s="107" customFormat="1" hidden="1">
      <c r="A96" s="264" t="s">
        <v>171</v>
      </c>
      <c r="B96" s="265" t="s">
        <v>256</v>
      </c>
      <c r="C96" s="110">
        <v>2</v>
      </c>
      <c r="D96" s="110">
        <v>1</v>
      </c>
      <c r="E96" s="110">
        <v>12</v>
      </c>
      <c r="F96" s="139">
        <f>D96/C96*E96</f>
        <v>6</v>
      </c>
      <c r="G96" s="111">
        <f>Цены!C27</f>
        <v>26</v>
      </c>
      <c r="H96" s="142">
        <f>F96*G96</f>
        <v>156</v>
      </c>
      <c r="I96" s="116">
        <f>материал!F33</f>
        <v>0</v>
      </c>
      <c r="J96" s="117">
        <f>F96*I96</f>
        <v>0</v>
      </c>
      <c r="K96" s="115">
        <f>H96*I96</f>
        <v>0</v>
      </c>
      <c r="L96" s="105"/>
      <c r="M96" s="105"/>
      <c r="N96" s="105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</row>
    <row r="97" spans="1:132" s="107" customFormat="1" hidden="1">
      <c r="A97" s="288" t="s">
        <v>257</v>
      </c>
      <c r="B97" s="265"/>
      <c r="C97" s="110"/>
      <c r="D97" s="110"/>
      <c r="E97" s="110"/>
      <c r="F97" s="139"/>
      <c r="G97" s="111"/>
      <c r="H97" s="142"/>
      <c r="I97" s="116"/>
      <c r="J97" s="117"/>
      <c r="K97" s="115"/>
      <c r="L97" s="105"/>
      <c r="M97" s="105"/>
      <c r="N97" s="105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</row>
    <row r="98" spans="1:132" s="107" customFormat="1" hidden="1">
      <c r="A98" s="110" t="s">
        <v>170</v>
      </c>
      <c r="B98" s="265" t="s">
        <v>256</v>
      </c>
      <c r="C98" s="110">
        <v>1</v>
      </c>
      <c r="D98" s="110">
        <v>1</v>
      </c>
      <c r="E98" s="110">
        <v>12</v>
      </c>
      <c r="F98" s="139">
        <f>D98/C98*E98</f>
        <v>12</v>
      </c>
      <c r="G98" s="111">
        <f>Цены!C26</f>
        <v>45.2</v>
      </c>
      <c r="H98" s="142">
        <f>F98*G98</f>
        <v>542.40000000000009</v>
      </c>
      <c r="I98" s="116">
        <f>материал!F11</f>
        <v>0.23180000000000001</v>
      </c>
      <c r="J98" s="117">
        <f>F98*I98</f>
        <v>2.7816000000000001</v>
      </c>
      <c r="K98" s="115">
        <f>H98*I98</f>
        <v>125.72832000000002</v>
      </c>
      <c r="L98" s="105"/>
      <c r="M98" s="105"/>
      <c r="N98" s="105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</row>
    <row r="99" spans="1:132" s="107" customFormat="1" hidden="1">
      <c r="A99" s="264" t="s">
        <v>171</v>
      </c>
      <c r="B99" s="265" t="s">
        <v>256</v>
      </c>
      <c r="C99" s="110">
        <v>1</v>
      </c>
      <c r="D99" s="110">
        <v>1</v>
      </c>
      <c r="E99" s="110">
        <v>12</v>
      </c>
      <c r="F99" s="139">
        <f>D99/C99*E99</f>
        <v>12</v>
      </c>
      <c r="G99" s="111">
        <f>Цены!C27</f>
        <v>26</v>
      </c>
      <c r="H99" s="142">
        <f>F99*G99</f>
        <v>312</v>
      </c>
      <c r="I99" s="116">
        <f>материал!F11</f>
        <v>0.23180000000000001</v>
      </c>
      <c r="J99" s="117">
        <f>F99*I99</f>
        <v>2.7816000000000001</v>
      </c>
      <c r="K99" s="115">
        <f>H99*I99</f>
        <v>72.321600000000004</v>
      </c>
      <c r="L99" s="105"/>
      <c r="M99" s="105"/>
      <c r="N99" s="105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</row>
    <row r="100" spans="1:132" s="107" customFormat="1" ht="25.5" hidden="1">
      <c r="A100" s="288" t="s">
        <v>258</v>
      </c>
      <c r="B100" s="265"/>
      <c r="C100" s="110"/>
      <c r="D100" s="110"/>
      <c r="E100" s="110"/>
      <c r="F100" s="139"/>
      <c r="G100" s="111"/>
      <c r="H100" s="142"/>
      <c r="I100" s="116"/>
      <c r="J100" s="117"/>
      <c r="K100" s="115"/>
      <c r="L100" s="105"/>
      <c r="M100" s="105"/>
      <c r="N100" s="105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</row>
    <row r="101" spans="1:132" s="107" customFormat="1" hidden="1">
      <c r="A101" s="110" t="s">
        <v>170</v>
      </c>
      <c r="B101" s="265" t="s">
        <v>256</v>
      </c>
      <c r="C101" s="110">
        <v>1</v>
      </c>
      <c r="D101" s="110">
        <v>1</v>
      </c>
      <c r="E101" s="110">
        <v>12</v>
      </c>
      <c r="F101" s="139">
        <f>D101/C101*E101</f>
        <v>12</v>
      </c>
      <c r="G101" s="111">
        <f>Цены!C26</f>
        <v>45.2</v>
      </c>
      <c r="H101" s="142">
        <f>F101*G101</f>
        <v>542.40000000000009</v>
      </c>
      <c r="I101" s="116">
        <f>материал!F46</f>
        <v>0</v>
      </c>
      <c r="J101" s="117">
        <f>F101*I101</f>
        <v>0</v>
      </c>
      <c r="K101" s="115">
        <f>H101*I101</f>
        <v>0</v>
      </c>
      <c r="L101" s="105"/>
      <c r="M101" s="105"/>
      <c r="N101" s="105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</row>
    <row r="102" spans="1:132" s="107" customFormat="1" hidden="1">
      <c r="A102" s="264" t="s">
        <v>171</v>
      </c>
      <c r="B102" s="265" t="s">
        <v>256</v>
      </c>
      <c r="C102" s="110">
        <v>1</v>
      </c>
      <c r="D102" s="110">
        <v>1</v>
      </c>
      <c r="E102" s="110">
        <v>12</v>
      </c>
      <c r="F102" s="139">
        <f>D102/C102*E102</f>
        <v>12</v>
      </c>
      <c r="G102" s="111">
        <f>Цены!C27</f>
        <v>26</v>
      </c>
      <c r="H102" s="142">
        <f>F102*G102</f>
        <v>312</v>
      </c>
      <c r="I102" s="116">
        <f>материал!F46</f>
        <v>0</v>
      </c>
      <c r="J102" s="117">
        <f>F102*I102</f>
        <v>0</v>
      </c>
      <c r="K102" s="115">
        <f>H102*I102</f>
        <v>0</v>
      </c>
      <c r="L102" s="105"/>
      <c r="M102" s="105"/>
      <c r="N102" s="105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</row>
    <row r="103" spans="1:132" s="107" customFormat="1" ht="15.75" hidden="1">
      <c r="A103" s="289" t="s">
        <v>259</v>
      </c>
      <c r="B103" s="265"/>
      <c r="C103" s="120"/>
      <c r="D103" s="120"/>
      <c r="E103" s="120"/>
      <c r="F103" s="257"/>
      <c r="G103" s="121"/>
      <c r="H103" s="142"/>
      <c r="I103" s="290"/>
      <c r="J103" s="268"/>
      <c r="K103" s="115"/>
      <c r="L103" s="105"/>
      <c r="M103" s="105"/>
      <c r="N103" s="105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</row>
    <row r="104" spans="1:132" s="107" customFormat="1" ht="25.5">
      <c r="A104" s="264" t="s">
        <v>260</v>
      </c>
      <c r="B104" s="265"/>
      <c r="C104" s="120"/>
      <c r="D104" s="120"/>
      <c r="E104" s="120"/>
      <c r="F104" s="2">
        <v>1</v>
      </c>
      <c r="G104" s="121">
        <f>Цены!C28</f>
        <v>72.7</v>
      </c>
      <c r="H104" s="142">
        <f>F104*G104</f>
        <v>72.7</v>
      </c>
      <c r="I104" s="257">
        <f>'Исх. дан.'!D50-I106</f>
        <v>5</v>
      </c>
      <c r="J104" s="291"/>
      <c r="K104" s="115">
        <f>I104*G104</f>
        <v>363.5</v>
      </c>
      <c r="L104" s="105"/>
      <c r="M104" s="105"/>
      <c r="N104" s="105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</row>
    <row r="105" spans="1:132" s="107" customFormat="1">
      <c r="A105" s="264" t="s">
        <v>261</v>
      </c>
      <c r="B105" s="265"/>
      <c r="C105" s="120"/>
      <c r="D105" s="120"/>
      <c r="E105" s="120"/>
      <c r="F105" s="2">
        <v>1</v>
      </c>
      <c r="G105" s="121">
        <f>Цены!C29</f>
        <v>13.91</v>
      </c>
      <c r="H105" s="142">
        <f>F105*G105</f>
        <v>13.91</v>
      </c>
      <c r="I105" s="257">
        <f>'Исх. дан.'!D51</f>
        <v>0</v>
      </c>
      <c r="J105" s="291"/>
      <c r="K105" s="115">
        <f>I105*G105</f>
        <v>0</v>
      </c>
      <c r="L105" s="105"/>
      <c r="M105" s="105"/>
      <c r="N105" s="105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</row>
    <row r="106" spans="1:132" s="107" customFormat="1" ht="25.5">
      <c r="A106" s="292" t="s">
        <v>262</v>
      </c>
      <c r="B106" s="293" t="s">
        <v>263</v>
      </c>
      <c r="C106" s="110"/>
      <c r="D106" s="110"/>
      <c r="E106" s="110"/>
      <c r="F106" s="2">
        <v>1</v>
      </c>
      <c r="G106" s="111">
        <f>Цены!C28</f>
        <v>72.7</v>
      </c>
      <c r="H106" s="142">
        <f>F106*G106</f>
        <v>72.7</v>
      </c>
      <c r="I106" s="257">
        <f>'Исх. дан.'!D34</f>
        <v>1</v>
      </c>
      <c r="J106" s="294"/>
      <c r="K106" s="115">
        <f>I106*G106</f>
        <v>72.7</v>
      </c>
      <c r="L106" s="105"/>
      <c r="M106" s="105"/>
      <c r="N106" s="105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</row>
    <row r="107" spans="1:132" s="107" customFormat="1">
      <c r="A107" s="25"/>
      <c r="B107" s="293"/>
      <c r="C107" s="110"/>
      <c r="D107" s="110"/>
      <c r="E107" s="110"/>
      <c r="F107" s="110"/>
      <c r="G107" s="111"/>
      <c r="H107" s="295"/>
      <c r="I107" s="296"/>
      <c r="J107" s="294"/>
      <c r="K107" s="295"/>
      <c r="L107" s="105"/>
      <c r="M107" s="105"/>
      <c r="N107" s="105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</row>
    <row r="108" spans="1:132" s="107" customFormat="1">
      <c r="A108" s="25"/>
      <c r="B108" s="293"/>
      <c r="C108" s="100"/>
      <c r="D108" s="100"/>
      <c r="E108" s="100"/>
      <c r="F108" s="100"/>
      <c r="G108" s="101"/>
      <c r="H108" s="295"/>
      <c r="I108" s="296"/>
      <c r="J108" s="294"/>
      <c r="K108" s="295"/>
      <c r="L108" s="105"/>
      <c r="M108" s="105"/>
      <c r="N108" s="105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</row>
    <row r="109" spans="1:132" s="306" customFormat="1" ht="32.25" customHeight="1">
      <c r="A109" s="297" t="s">
        <v>264</v>
      </c>
      <c r="B109" s="298"/>
      <c r="C109" s="299"/>
      <c r="D109" s="299"/>
      <c r="E109" s="299"/>
      <c r="F109" s="299"/>
      <c r="G109" s="300"/>
      <c r="H109" s="301">
        <f>SUM(H12,H25,H43,H56,H72,H74,H95:H96,H98:H99,H104:H106)</f>
        <v>16568.492083333334</v>
      </c>
      <c r="I109" s="302"/>
      <c r="J109" s="300"/>
      <c r="K109" s="301" t="e">
        <f>SUM(K12,K25,K43,K56,K72,K74,K95:K96,K98:K99,K104:K106)</f>
        <v>#N/A</v>
      </c>
      <c r="L109" s="303"/>
      <c r="M109" s="304"/>
      <c r="N109" s="304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305"/>
      <c r="AH109" s="305"/>
      <c r="AI109" s="305"/>
      <c r="AJ109" s="305"/>
      <c r="AK109" s="305"/>
      <c r="AL109" s="305"/>
      <c r="AM109" s="305"/>
      <c r="AN109" s="305"/>
      <c r="AO109" s="305"/>
      <c r="AP109" s="305"/>
      <c r="AQ109" s="305"/>
      <c r="AR109" s="305"/>
      <c r="AS109" s="305"/>
      <c r="AT109" s="305"/>
      <c r="AU109" s="305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05"/>
      <c r="BG109" s="305"/>
      <c r="BH109" s="305"/>
      <c r="BI109" s="305"/>
      <c r="BJ109" s="305"/>
      <c r="BK109" s="305"/>
      <c r="BL109" s="305"/>
      <c r="BM109" s="305"/>
      <c r="BN109" s="305"/>
      <c r="BO109" s="305"/>
      <c r="BP109" s="305"/>
      <c r="BQ109" s="305"/>
      <c r="BR109" s="305"/>
      <c r="BS109" s="305"/>
      <c r="BT109" s="305"/>
      <c r="BU109" s="305"/>
      <c r="BV109" s="305"/>
      <c r="BW109" s="305"/>
      <c r="BX109" s="305"/>
      <c r="BY109" s="305"/>
      <c r="BZ109" s="305"/>
      <c r="CA109" s="305"/>
      <c r="CB109" s="305"/>
      <c r="CC109" s="305"/>
      <c r="CD109" s="305"/>
      <c r="CE109" s="305"/>
      <c r="CF109" s="305"/>
      <c r="CG109" s="305"/>
      <c r="CH109" s="305"/>
      <c r="CI109" s="305"/>
      <c r="CJ109" s="305"/>
      <c r="CK109" s="305"/>
      <c r="CL109" s="305"/>
      <c r="CM109" s="305"/>
      <c r="CN109" s="305"/>
      <c r="CO109" s="305"/>
      <c r="CP109" s="305"/>
      <c r="CQ109" s="305"/>
      <c r="CR109" s="305"/>
      <c r="CS109" s="305"/>
      <c r="CT109" s="305"/>
      <c r="CU109" s="305"/>
      <c r="CV109" s="305"/>
      <c r="CW109" s="305"/>
      <c r="CX109" s="305"/>
      <c r="CY109" s="305"/>
      <c r="CZ109" s="305"/>
      <c r="DA109" s="305"/>
      <c r="DB109" s="305"/>
      <c r="DC109" s="305"/>
      <c r="DD109" s="305"/>
      <c r="DE109" s="305"/>
      <c r="DF109" s="305"/>
      <c r="DG109" s="305"/>
      <c r="DH109" s="305"/>
      <c r="DI109" s="305"/>
      <c r="DJ109" s="305"/>
      <c r="DK109" s="305"/>
      <c r="DL109" s="305"/>
      <c r="DM109" s="305"/>
      <c r="DN109" s="305"/>
      <c r="DO109" s="305"/>
      <c r="DP109" s="305"/>
      <c r="DQ109" s="305"/>
      <c r="DR109" s="305"/>
      <c r="DS109" s="305"/>
      <c r="DT109" s="305"/>
      <c r="DU109" s="305"/>
      <c r="DV109" s="305"/>
      <c r="DW109" s="305"/>
      <c r="DX109" s="305"/>
      <c r="DY109" s="305"/>
      <c r="DZ109" s="305"/>
      <c r="EA109" s="305"/>
      <c r="EB109" s="305"/>
    </row>
  </sheetData>
  <sheetProtection selectLockedCells="1" selectUnlockedCells="1"/>
  <mergeCells count="5">
    <mergeCell ref="A1:K1"/>
    <mergeCell ref="A3:A4"/>
    <mergeCell ref="C3:D3"/>
    <mergeCell ref="E3:E4"/>
    <mergeCell ref="I3:J3"/>
  </mergeCells>
  <pageMargins left="0.19652777777777777" right="0" top="0.78749999999999998" bottom="0.59097222222222223" header="0.51180555555555551" footer="0.31527777777777777"/>
  <pageSetup paperSize="9" firstPageNumber="0" fitToHeight="0" orientation="portrait" horizontalDpi="300" verticalDpi="300"/>
  <headerFooter alignWithMargins="0">
    <oddFooter>&amp;CСтраница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78" sqref="Q78"/>
    </sheetView>
  </sheetViews>
  <sheetFormatPr defaultColWidth="8.7109375" defaultRowHeight="12.75"/>
  <cols>
    <col min="1" max="1" width="45.5703125" customWidth="1"/>
    <col min="2" max="2" width="10" style="307" customWidth="1"/>
    <col min="3" max="3" width="10.7109375" style="307" customWidth="1"/>
    <col min="4" max="4" width="10.28515625" style="307" customWidth="1"/>
    <col min="5" max="5" width="9.85546875" style="307" customWidth="1"/>
    <col min="6" max="6" width="9.5703125" style="307" customWidth="1"/>
    <col min="7" max="7" width="13.140625" style="307" customWidth="1"/>
    <col min="8" max="8" width="7.5703125" style="307" hidden="1" customWidth="1"/>
    <col min="9" max="9" width="11.5703125" style="307" hidden="1" customWidth="1"/>
    <col min="10" max="10" width="9" style="307" hidden="1" customWidth="1"/>
    <col min="11" max="11" width="10" style="307" hidden="1" customWidth="1"/>
    <col min="12" max="12" width="10.140625" style="307" hidden="1" customWidth="1"/>
    <col min="13" max="13" width="8.85546875" style="307" hidden="1" customWidth="1"/>
    <col min="14" max="14" width="10.5703125" customWidth="1"/>
    <col min="15" max="15" width="8.7109375" customWidth="1"/>
    <col min="16" max="16" width="10.7109375" customWidth="1"/>
  </cols>
  <sheetData>
    <row r="1" spans="1:16" s="310" customFormat="1" ht="18">
      <c r="A1" s="829" t="s">
        <v>265</v>
      </c>
      <c r="B1" s="829"/>
      <c r="C1" s="829"/>
      <c r="D1" s="829"/>
      <c r="E1" s="829"/>
      <c r="F1" s="829"/>
      <c r="G1" s="829"/>
      <c r="H1" s="308"/>
      <c r="I1" s="308"/>
      <c r="J1" s="308"/>
      <c r="K1" s="308"/>
      <c r="L1" s="309" t="s">
        <v>266</v>
      </c>
      <c r="M1" s="308"/>
    </row>
    <row r="2" spans="1:16">
      <c r="A2" s="70" t="s">
        <v>267</v>
      </c>
      <c r="M2" s="311" t="s">
        <v>268</v>
      </c>
    </row>
    <row r="3" spans="1:16" ht="29.25" customHeight="1">
      <c r="A3" s="830" t="s">
        <v>0</v>
      </c>
      <c r="B3" s="826" t="s">
        <v>269</v>
      </c>
      <c r="C3" s="831" t="s">
        <v>270</v>
      </c>
      <c r="D3" s="831"/>
      <c r="E3" s="831"/>
      <c r="F3" s="831"/>
      <c r="G3" s="831"/>
      <c r="H3" s="832" t="s">
        <v>271</v>
      </c>
      <c r="I3" s="832"/>
      <c r="J3" s="832"/>
      <c r="K3" s="832"/>
      <c r="L3" s="832"/>
      <c r="M3" s="312"/>
    </row>
    <row r="4" spans="1:16" s="79" customFormat="1" ht="51">
      <c r="A4" s="830"/>
      <c r="B4" s="826"/>
      <c r="C4" s="292" t="s">
        <v>272</v>
      </c>
      <c r="D4" s="292" t="s">
        <v>273</v>
      </c>
      <c r="E4" s="292" t="s">
        <v>274</v>
      </c>
      <c r="F4" s="292" t="s">
        <v>275</v>
      </c>
      <c r="G4" s="313" t="s">
        <v>276</v>
      </c>
      <c r="H4" s="314" t="s">
        <v>272</v>
      </c>
      <c r="I4" s="292" t="s">
        <v>277</v>
      </c>
      <c r="J4" s="292" t="s">
        <v>278</v>
      </c>
      <c r="K4" s="292" t="s">
        <v>279</v>
      </c>
      <c r="L4" s="258" t="s">
        <v>276</v>
      </c>
      <c r="M4" s="315" t="s">
        <v>280</v>
      </c>
    </row>
    <row r="5" spans="1:16" s="79" customFormat="1" ht="15" customHeight="1">
      <c r="A5" s="316"/>
      <c r="B5" s="317"/>
      <c r="C5" s="317"/>
      <c r="D5" s="317" t="s">
        <v>9</v>
      </c>
      <c r="E5" s="317" t="s">
        <v>9</v>
      </c>
      <c r="F5" s="317" t="s">
        <v>281</v>
      </c>
      <c r="G5" s="318" t="s">
        <v>268</v>
      </c>
      <c r="H5" s="319"/>
      <c r="I5" s="320"/>
      <c r="J5" s="321"/>
      <c r="K5" s="319"/>
      <c r="L5" s="322"/>
      <c r="M5" s="315"/>
    </row>
    <row r="6" spans="1:16" s="79" customFormat="1" ht="16.5" customHeight="1">
      <c r="A6" s="323">
        <v>1</v>
      </c>
      <c r="B6" s="324">
        <v>2</v>
      </c>
      <c r="C6" s="325">
        <v>3</v>
      </c>
      <c r="D6" s="326">
        <v>4</v>
      </c>
      <c r="E6" s="326">
        <v>5</v>
      </c>
      <c r="F6" s="326">
        <v>6</v>
      </c>
      <c r="G6" s="327">
        <v>7</v>
      </c>
      <c r="H6" s="319">
        <v>8</v>
      </c>
      <c r="I6" s="320">
        <v>9</v>
      </c>
      <c r="J6" s="328">
        <v>10</v>
      </c>
      <c r="K6" s="329">
        <v>11</v>
      </c>
      <c r="L6" s="322">
        <v>12</v>
      </c>
      <c r="M6" s="315">
        <v>13</v>
      </c>
    </row>
    <row r="7" spans="1:16" s="91" customFormat="1" ht="14.25" customHeight="1">
      <c r="A7" s="330" t="s">
        <v>282</v>
      </c>
      <c r="B7" s="96" t="s">
        <v>9</v>
      </c>
      <c r="C7" s="331"/>
      <c r="D7" s="332">
        <f>'Исх. дан.'!D8</f>
        <v>674</v>
      </c>
      <c r="E7" s="333"/>
      <c r="F7" s="333"/>
      <c r="G7" s="334"/>
      <c r="H7" s="335"/>
      <c r="I7" s="25">
        <f>D7</f>
        <v>674</v>
      </c>
      <c r="J7" s="25"/>
      <c r="K7" s="25"/>
      <c r="L7" s="146"/>
      <c r="M7" s="336"/>
    </row>
    <row r="8" spans="1:16" s="79" customFormat="1" ht="15" hidden="1" customHeight="1">
      <c r="A8" s="337" t="s">
        <v>62</v>
      </c>
      <c r="B8" s="336"/>
      <c r="C8" s="338"/>
      <c r="D8" s="339"/>
      <c r="E8" s="339"/>
      <c r="F8" s="339"/>
      <c r="G8" s="340"/>
      <c r="H8" s="314"/>
      <c r="I8" s="292"/>
      <c r="J8" s="292"/>
      <c r="K8" s="292"/>
      <c r="L8" s="258"/>
      <c r="M8" s="315"/>
    </row>
    <row r="9" spans="1:16" s="10" customFormat="1" ht="21.75" hidden="1" customHeight="1">
      <c r="A9" s="341" t="s">
        <v>283</v>
      </c>
      <c r="B9" s="315" t="s">
        <v>9</v>
      </c>
      <c r="C9" s="338" t="s">
        <v>284</v>
      </c>
      <c r="D9" s="342">
        <f>'Исх. дан.'!D6+'Исх. дан.'!D7</f>
        <v>170</v>
      </c>
      <c r="E9" s="339">
        <f>'Норм. по сан. сод.'!C8</f>
        <v>820</v>
      </c>
      <c r="F9" s="343">
        <f>ROUND(D9/E9,3)</f>
        <v>0.20699999999999999</v>
      </c>
      <c r="G9" s="340"/>
      <c r="H9" s="314"/>
      <c r="I9" s="292">
        <f>D9</f>
        <v>170</v>
      </c>
      <c r="J9" s="292">
        <v>790</v>
      </c>
      <c r="K9" s="344"/>
      <c r="L9" s="258"/>
      <c r="M9" s="315"/>
    </row>
    <row r="10" spans="1:16" s="10" customFormat="1" ht="15.95" hidden="1" customHeight="1">
      <c r="A10" s="345" t="s">
        <v>285</v>
      </c>
      <c r="B10" s="346"/>
      <c r="C10" s="347" t="s">
        <v>284</v>
      </c>
      <c r="D10" s="348" t="s">
        <v>284</v>
      </c>
      <c r="E10" s="348" t="s">
        <v>284</v>
      </c>
      <c r="F10" s="349">
        <v>1.1200000000000001</v>
      </c>
      <c r="G10" s="350"/>
      <c r="H10" s="314"/>
      <c r="I10" s="292"/>
      <c r="J10" s="292"/>
      <c r="K10" s="351"/>
      <c r="L10" s="352"/>
      <c r="M10" s="315"/>
    </row>
    <row r="11" spans="1:16" s="149" customFormat="1" ht="18.75" hidden="1" customHeight="1">
      <c r="A11" s="353" t="s">
        <v>286</v>
      </c>
      <c r="B11" s="354" t="s">
        <v>281</v>
      </c>
      <c r="C11" s="355"/>
      <c r="D11" s="356"/>
      <c r="E11" s="356"/>
      <c r="F11" s="357">
        <f>ROUND(F9*F10,4)</f>
        <v>0.23180000000000001</v>
      </c>
      <c r="G11" s="358"/>
      <c r="H11" s="335"/>
      <c r="I11" s="25"/>
      <c r="J11" s="25"/>
      <c r="K11" s="359"/>
      <c r="L11" s="360"/>
      <c r="M11" s="336"/>
    </row>
    <row r="12" spans="1:16" s="10" customFormat="1" ht="24" hidden="1" customHeight="1">
      <c r="A12" s="361" t="s">
        <v>287</v>
      </c>
      <c r="B12" s="362" t="s">
        <v>288</v>
      </c>
      <c r="C12" s="363" t="e">
        <f>#N/A</f>
        <v>#N/A</v>
      </c>
      <c r="D12" s="364" t="s">
        <v>284</v>
      </c>
      <c r="E12" s="364" t="s">
        <v>284</v>
      </c>
      <c r="F12" s="365">
        <f>F11</f>
        <v>0.23180000000000001</v>
      </c>
      <c r="G12" s="366" t="e">
        <f>C12*F12*12</f>
        <v>#N/A</v>
      </c>
      <c r="H12" s="314" t="e">
        <f>C12</f>
        <v>#N/A</v>
      </c>
      <c r="I12" s="367">
        <f>I9</f>
        <v>170</v>
      </c>
      <c r="J12" s="292">
        <v>377.66</v>
      </c>
      <c r="K12" s="368">
        <f>I12*J12/100</f>
        <v>642.02200000000005</v>
      </c>
      <c r="L12" s="369">
        <f>K12*12</f>
        <v>7704.264000000001</v>
      </c>
      <c r="M12" s="370" t="e">
        <f t="shared" ref="M12:M17" si="0">G12-L12</f>
        <v>#N/A</v>
      </c>
      <c r="N12" s="833"/>
      <c r="O12" s="833"/>
      <c r="P12" s="833"/>
    </row>
    <row r="13" spans="1:16" s="10" customFormat="1" ht="15" hidden="1" customHeight="1">
      <c r="A13" s="341" t="s">
        <v>289</v>
      </c>
      <c r="B13" s="315" t="s">
        <v>290</v>
      </c>
      <c r="C13" s="371">
        <v>0.30000000000000004</v>
      </c>
      <c r="D13" s="339" t="s">
        <v>284</v>
      </c>
      <c r="E13" s="339" t="s">
        <v>284</v>
      </c>
      <c r="F13" s="339" t="s">
        <v>284</v>
      </c>
      <c r="G13" s="372" t="e">
        <f>G12*C13</f>
        <v>#N/A</v>
      </c>
      <c r="H13" s="373">
        <f>C13</f>
        <v>0.30000000000000004</v>
      </c>
      <c r="I13" s="292"/>
      <c r="J13" s="292">
        <v>188.83</v>
      </c>
      <c r="K13" s="368">
        <f>I12*J13/100</f>
        <v>321.01100000000002</v>
      </c>
      <c r="L13" s="369">
        <f>K13*12</f>
        <v>3852.1320000000005</v>
      </c>
      <c r="M13" s="370" t="e">
        <f t="shared" si="0"/>
        <v>#N/A</v>
      </c>
    </row>
    <row r="14" spans="1:16" s="149" customFormat="1" ht="15" hidden="1" customHeight="1">
      <c r="A14" s="374" t="s">
        <v>291</v>
      </c>
      <c r="B14" s="375" t="s">
        <v>292</v>
      </c>
      <c r="C14" s="376" t="s">
        <v>284</v>
      </c>
      <c r="D14" s="377" t="s">
        <v>284</v>
      </c>
      <c r="E14" s="377" t="s">
        <v>284</v>
      </c>
      <c r="F14" s="377" t="s">
        <v>284</v>
      </c>
      <c r="G14" s="378" t="e">
        <f>G12+G13</f>
        <v>#N/A</v>
      </c>
      <c r="H14" s="335"/>
      <c r="I14" s="25"/>
      <c r="J14" s="25">
        <f>J12+J13</f>
        <v>566.49</v>
      </c>
      <c r="K14" s="379">
        <f>SUM(K12:K13)</f>
        <v>963.03300000000013</v>
      </c>
      <c r="L14" s="380">
        <f>SUM(L12:L13)</f>
        <v>11556.396000000001</v>
      </c>
      <c r="M14" s="370" t="e">
        <f t="shared" si="0"/>
        <v>#N/A</v>
      </c>
    </row>
    <row r="15" spans="1:16" s="386" customFormat="1" ht="15" hidden="1" customHeight="1">
      <c r="A15" s="341" t="s">
        <v>112</v>
      </c>
      <c r="B15" s="315" t="s">
        <v>290</v>
      </c>
      <c r="C15" s="381">
        <f>'Постоянные конст'!B3</f>
        <v>0.20200000000000001</v>
      </c>
      <c r="D15" s="339" t="s">
        <v>284</v>
      </c>
      <c r="E15" s="339" t="s">
        <v>284</v>
      </c>
      <c r="F15" s="339" t="s">
        <v>284</v>
      </c>
      <c r="G15" s="372" t="e">
        <f>G14*C15</f>
        <v>#N/A</v>
      </c>
      <c r="H15" s="382">
        <v>0.26200000000000001</v>
      </c>
      <c r="I15" s="292"/>
      <c r="J15" s="292">
        <v>148.41999999999999</v>
      </c>
      <c r="K15" s="383">
        <f>I12*J15/100</f>
        <v>252.31399999999996</v>
      </c>
      <c r="L15" s="384">
        <f>K15*12</f>
        <v>3027.7679999999996</v>
      </c>
      <c r="M15" s="385" t="e">
        <f t="shared" si="0"/>
        <v>#N/A</v>
      </c>
      <c r="N15" s="12"/>
    </row>
    <row r="16" spans="1:16" s="386" customFormat="1" ht="15" hidden="1" customHeight="1">
      <c r="A16" s="341" t="s">
        <v>174</v>
      </c>
      <c r="B16" s="387" t="s">
        <v>293</v>
      </c>
      <c r="C16" s="388">
        <f>'спец инв'!K12</f>
        <v>418.16719999999998</v>
      </c>
      <c r="D16" s="339" t="s">
        <v>284</v>
      </c>
      <c r="E16" s="339" t="s">
        <v>284</v>
      </c>
      <c r="F16" s="389">
        <f>F11</f>
        <v>0.23180000000000001</v>
      </c>
      <c r="G16" s="390">
        <f>C16*F16</f>
        <v>96.931156959999996</v>
      </c>
      <c r="H16" s="314">
        <v>14.51</v>
      </c>
      <c r="I16" s="292"/>
      <c r="J16" s="292">
        <v>2.63</v>
      </c>
      <c r="K16" s="262">
        <f>J16*I12/100</f>
        <v>4.4710000000000001</v>
      </c>
      <c r="L16" s="384">
        <f>K16*12</f>
        <v>53.652000000000001</v>
      </c>
      <c r="M16" s="385">
        <f t="shared" si="0"/>
        <v>43.279156959999995</v>
      </c>
      <c r="N16" s="12"/>
    </row>
    <row r="17" spans="1:16" s="386" customFormat="1" ht="15" hidden="1" customHeight="1">
      <c r="A17" s="341" t="s">
        <v>294</v>
      </c>
      <c r="B17" s="387" t="s">
        <v>293</v>
      </c>
      <c r="C17" s="388">
        <f>'спец инв'!K43</f>
        <v>386.93</v>
      </c>
      <c r="D17" s="339" t="s">
        <v>284</v>
      </c>
      <c r="E17" s="339" t="s">
        <v>284</v>
      </c>
      <c r="F17" s="389">
        <f>F11</f>
        <v>0.23180000000000001</v>
      </c>
      <c r="G17" s="390">
        <f>C17*F17</f>
        <v>89.690374000000006</v>
      </c>
      <c r="H17" s="314">
        <v>21.86</v>
      </c>
      <c r="I17" s="292"/>
      <c r="J17" s="292">
        <v>6.59</v>
      </c>
      <c r="K17" s="262">
        <f>I12*J17/100</f>
        <v>11.202999999999999</v>
      </c>
      <c r="L17" s="384">
        <f>K17*12</f>
        <v>134.43599999999998</v>
      </c>
      <c r="M17" s="385">
        <f t="shared" si="0"/>
        <v>-44.745625999999973</v>
      </c>
      <c r="N17" s="12"/>
    </row>
    <row r="18" spans="1:16" s="386" customFormat="1" ht="15" hidden="1" customHeight="1">
      <c r="A18" s="345" t="s">
        <v>163</v>
      </c>
      <c r="B18" s="391" t="s">
        <v>268</v>
      </c>
      <c r="C18" s="388">
        <f>'спец инв'!K47</f>
        <v>126.66931200000001</v>
      </c>
      <c r="D18" s="339" t="s">
        <v>284</v>
      </c>
      <c r="E18" s="348" t="s">
        <v>284</v>
      </c>
      <c r="F18" s="349" t="s">
        <v>284</v>
      </c>
      <c r="G18" s="392">
        <f>C18</f>
        <v>126.66931200000001</v>
      </c>
      <c r="H18" s="314"/>
      <c r="I18" s="292"/>
      <c r="J18" s="292"/>
      <c r="K18" s="262"/>
      <c r="L18" s="384"/>
      <c r="M18" s="385"/>
      <c r="N18" s="12"/>
    </row>
    <row r="19" spans="1:16" s="149" customFormat="1" ht="30.75" hidden="1" customHeight="1">
      <c r="A19" s="393" t="s">
        <v>295</v>
      </c>
      <c r="B19" s="394"/>
      <c r="C19" s="395" t="s">
        <v>284</v>
      </c>
      <c r="D19" s="396" t="s">
        <v>284</v>
      </c>
      <c r="E19" s="396" t="s">
        <v>284</v>
      </c>
      <c r="F19" s="396" t="s">
        <v>284</v>
      </c>
      <c r="G19" s="397" t="e">
        <f>G14+G15+G16+G17+G18</f>
        <v>#N/A</v>
      </c>
      <c r="H19" s="398"/>
      <c r="I19" s="399"/>
      <c r="J19" s="400">
        <f>SUM(J14:J18)</f>
        <v>724.13</v>
      </c>
      <c r="K19" s="400">
        <f>SUM(K14:K18)</f>
        <v>1231.0210000000002</v>
      </c>
      <c r="L19" s="401">
        <f>SUM(L14:L18)</f>
        <v>14772.252</v>
      </c>
      <c r="M19" s="402" t="e">
        <f>G19-L19</f>
        <v>#N/A</v>
      </c>
    </row>
    <row r="20" spans="1:16" s="10" customFormat="1" ht="15" hidden="1" customHeight="1">
      <c r="A20" s="330" t="s">
        <v>296</v>
      </c>
      <c r="B20" s="96"/>
      <c r="C20" s="363"/>
      <c r="D20" s="364"/>
      <c r="E20" s="364"/>
      <c r="F20" s="364"/>
      <c r="G20" s="403"/>
      <c r="H20" s="319" t="s">
        <v>297</v>
      </c>
      <c r="I20" s="320"/>
      <c r="J20" s="292" t="s">
        <v>298</v>
      </c>
      <c r="K20" s="292" t="s">
        <v>279</v>
      </c>
      <c r="L20" s="258" t="s">
        <v>276</v>
      </c>
      <c r="M20" s="362"/>
    </row>
    <row r="21" spans="1:16" s="10" customFormat="1" ht="15" hidden="1" customHeight="1">
      <c r="A21" s="341" t="s">
        <v>299</v>
      </c>
      <c r="B21" s="315"/>
      <c r="C21" s="338"/>
      <c r="D21" s="339"/>
      <c r="E21" s="339"/>
      <c r="F21" s="339"/>
      <c r="G21" s="340"/>
      <c r="H21" s="314"/>
      <c r="I21" s="292"/>
      <c r="J21" s="292"/>
      <c r="K21" s="292"/>
      <c r="L21" s="258"/>
      <c r="M21" s="315"/>
    </row>
    <row r="22" spans="1:16" s="10" customFormat="1" ht="15" hidden="1" customHeight="1">
      <c r="A22" s="404" t="s">
        <v>300</v>
      </c>
      <c r="B22" s="405"/>
      <c r="C22" s="338" t="s">
        <v>284</v>
      </c>
      <c r="D22" s="406">
        <f>'Исх. дан.'!D36</f>
        <v>0</v>
      </c>
      <c r="E22" s="406">
        <v>3630</v>
      </c>
      <c r="F22" s="343">
        <f>D22/E22</f>
        <v>0</v>
      </c>
      <c r="G22" s="407"/>
      <c r="H22" s="408">
        <v>6.5</v>
      </c>
      <c r="I22" s="409">
        <f>D22</f>
        <v>0</v>
      </c>
      <c r="J22" s="409">
        <v>215.67</v>
      </c>
      <c r="K22" s="410">
        <f>J22*I22/100</f>
        <v>0</v>
      </c>
      <c r="L22" s="411">
        <f>K22*H22</f>
        <v>0</v>
      </c>
      <c r="M22" s="412"/>
    </row>
    <row r="23" spans="1:16" s="10" customFormat="1" ht="15" hidden="1" customHeight="1">
      <c r="A23" s="404" t="s">
        <v>301</v>
      </c>
      <c r="B23" s="405"/>
      <c r="C23" s="338" t="s">
        <v>284</v>
      </c>
      <c r="D23" s="406">
        <f>'Исх. дан.'!D37</f>
        <v>0</v>
      </c>
      <c r="E23" s="406">
        <v>3080</v>
      </c>
      <c r="F23" s="343">
        <f>ROUND(D23/E23,3)</f>
        <v>0</v>
      </c>
      <c r="G23" s="407"/>
      <c r="H23" s="413">
        <v>5.5</v>
      </c>
      <c r="I23" s="414">
        <f>I22</f>
        <v>0</v>
      </c>
      <c r="J23" s="414">
        <v>650.95000000000005</v>
      </c>
      <c r="K23" s="415">
        <f>J23*I23/100</f>
        <v>0</v>
      </c>
      <c r="L23" s="416">
        <f>K23*H23</f>
        <v>0</v>
      </c>
      <c r="M23" s="417"/>
      <c r="P23" s="10" t="s">
        <v>302</v>
      </c>
    </row>
    <row r="24" spans="1:16" s="10" customFormat="1" ht="15" hidden="1" customHeight="1">
      <c r="A24" s="404" t="s">
        <v>303</v>
      </c>
      <c r="B24" s="405"/>
      <c r="C24" s="338" t="s">
        <v>284</v>
      </c>
      <c r="D24" s="406">
        <f>'Исх. дан.'!D38</f>
        <v>0</v>
      </c>
      <c r="E24" s="406">
        <v>2500</v>
      </c>
      <c r="F24" s="343">
        <f>ROUND(D24/E24,3)</f>
        <v>0</v>
      </c>
      <c r="G24" s="407"/>
      <c r="H24" s="314"/>
      <c r="I24" s="292"/>
      <c r="J24" s="292"/>
      <c r="K24" s="418"/>
      <c r="L24" s="419"/>
      <c r="M24" s="315"/>
    </row>
    <row r="25" spans="1:16" s="10" customFormat="1" ht="15" hidden="1" customHeight="1">
      <c r="A25" s="404"/>
      <c r="B25" s="405"/>
      <c r="C25" s="338"/>
      <c r="D25" s="406"/>
      <c r="E25" s="406"/>
      <c r="F25" s="420"/>
      <c r="G25" s="407"/>
      <c r="H25" s="314"/>
      <c r="I25" s="292"/>
      <c r="J25" s="292"/>
      <c r="K25" s="418"/>
      <c r="L25" s="419"/>
      <c r="M25" s="315"/>
    </row>
    <row r="26" spans="1:16" s="10" customFormat="1" ht="15" hidden="1" customHeight="1">
      <c r="A26" s="404" t="s">
        <v>304</v>
      </c>
      <c r="B26" s="405"/>
      <c r="C26" s="338" t="s">
        <v>284</v>
      </c>
      <c r="D26" s="406">
        <f>'Исх. дан.'!D39</f>
        <v>0</v>
      </c>
      <c r="E26" s="406">
        <v>2340</v>
      </c>
      <c r="F26" s="343">
        <f>ROUND(D26/E26,3)</f>
        <v>0</v>
      </c>
      <c r="G26" s="407"/>
      <c r="H26" s="408">
        <v>6.5</v>
      </c>
      <c r="I26" s="409">
        <f>D26</f>
        <v>0</v>
      </c>
      <c r="J26" s="409">
        <v>279.99</v>
      </c>
      <c r="K26" s="410">
        <f>J26*I26/100</f>
        <v>0</v>
      </c>
      <c r="L26" s="411">
        <f>K26*H26</f>
        <v>0</v>
      </c>
      <c r="M26" s="412"/>
    </row>
    <row r="27" spans="1:16" s="10" customFormat="1" ht="15" hidden="1" customHeight="1">
      <c r="A27" s="404" t="s">
        <v>305</v>
      </c>
      <c r="B27" s="405"/>
      <c r="C27" s="338" t="s">
        <v>284</v>
      </c>
      <c r="D27" s="406">
        <f>'Исх. дан.'!D40</f>
        <v>0</v>
      </c>
      <c r="E27" s="406">
        <v>1980</v>
      </c>
      <c r="F27" s="343">
        <f>ROUND(D27/E27,3)</f>
        <v>0</v>
      </c>
      <c r="G27" s="407"/>
      <c r="H27" s="413">
        <v>5.5</v>
      </c>
      <c r="I27" s="414">
        <f>I26</f>
        <v>0</v>
      </c>
      <c r="J27" s="414">
        <v>931.98</v>
      </c>
      <c r="K27" s="415">
        <f>J27*I27/100</f>
        <v>0</v>
      </c>
      <c r="L27" s="416">
        <f>K27*H27</f>
        <v>0</v>
      </c>
      <c r="M27" s="417"/>
    </row>
    <row r="28" spans="1:16" s="10" customFormat="1" ht="15" hidden="1" customHeight="1">
      <c r="A28" s="404" t="s">
        <v>306</v>
      </c>
      <c r="B28" s="405"/>
      <c r="C28" s="338" t="s">
        <v>284</v>
      </c>
      <c r="D28" s="406">
        <f>'Исх. дан.'!D41</f>
        <v>0</v>
      </c>
      <c r="E28" s="406">
        <v>1610</v>
      </c>
      <c r="F28" s="343">
        <f>ROUND(D28/E28,3)</f>
        <v>0</v>
      </c>
      <c r="G28" s="407"/>
      <c r="H28" s="314"/>
      <c r="I28" s="292"/>
      <c r="J28" s="292"/>
      <c r="K28" s="418"/>
      <c r="L28" s="419"/>
      <c r="M28" s="315"/>
    </row>
    <row r="29" spans="1:16" s="10" customFormat="1" ht="15" hidden="1" customHeight="1">
      <c r="A29" s="404"/>
      <c r="B29" s="405"/>
      <c r="C29" s="338"/>
      <c r="D29" s="406"/>
      <c r="E29" s="406"/>
      <c r="F29" s="420"/>
      <c r="G29" s="407"/>
      <c r="H29" s="314"/>
      <c r="I29" s="292"/>
      <c r="J29" s="292"/>
      <c r="K29" s="418"/>
      <c r="L29" s="419"/>
      <c r="M29" s="315"/>
    </row>
    <row r="30" spans="1:16" s="10" customFormat="1" ht="15" hidden="1" customHeight="1">
      <c r="A30" s="404" t="s">
        <v>307</v>
      </c>
      <c r="B30" s="405"/>
      <c r="C30" s="338" t="s">
        <v>284</v>
      </c>
      <c r="D30" s="406">
        <f>'Исх. дан.'!D42</f>
        <v>0</v>
      </c>
      <c r="E30" s="406">
        <v>30000</v>
      </c>
      <c r="F30" s="343">
        <f>ROUND(D30/E30,3)</f>
        <v>0</v>
      </c>
      <c r="G30" s="407"/>
      <c r="H30" s="408">
        <v>6.5</v>
      </c>
      <c r="I30" s="409">
        <f>D30</f>
        <v>0</v>
      </c>
      <c r="J30" s="409">
        <v>77.760000000000005</v>
      </c>
      <c r="K30" s="410">
        <f>J30*I30/100</f>
        <v>0</v>
      </c>
      <c r="L30" s="411">
        <f>K30*H30</f>
        <v>0</v>
      </c>
      <c r="M30" s="412"/>
    </row>
    <row r="31" spans="1:16" s="107" customFormat="1" ht="15" hidden="1" customHeight="1">
      <c r="A31" s="421" t="s">
        <v>308</v>
      </c>
      <c r="B31" s="422" t="s">
        <v>281</v>
      </c>
      <c r="C31" s="338" t="s">
        <v>284</v>
      </c>
      <c r="D31" s="339" t="s">
        <v>284</v>
      </c>
      <c r="E31" s="339" t="s">
        <v>284</v>
      </c>
      <c r="F31" s="423">
        <f>F22+F23+F24+F26+F27+F28+F30</f>
        <v>0</v>
      </c>
      <c r="G31" s="424"/>
      <c r="H31" s="425"/>
      <c r="I31" s="426"/>
      <c r="J31" s="426"/>
      <c r="K31" s="427"/>
      <c r="L31" s="428" t="e">
        <f>#N/A</f>
        <v>#N/A</v>
      </c>
      <c r="M31" s="429"/>
    </row>
    <row r="32" spans="1:16" s="12" customFormat="1" ht="15" hidden="1" customHeight="1">
      <c r="A32" s="404" t="s">
        <v>309</v>
      </c>
      <c r="B32" s="430"/>
      <c r="C32" s="338" t="s">
        <v>284</v>
      </c>
      <c r="D32" s="339" t="s">
        <v>284</v>
      </c>
      <c r="E32" s="339" t="s">
        <v>284</v>
      </c>
      <c r="F32" s="431">
        <v>1.1200000000000001</v>
      </c>
      <c r="G32" s="432"/>
      <c r="H32" s="314"/>
      <c r="I32" s="110"/>
      <c r="J32" s="110"/>
      <c r="K32" s="139"/>
      <c r="L32" s="111"/>
      <c r="M32" s="112"/>
    </row>
    <row r="33" spans="1:16" s="107" customFormat="1" ht="18.75" hidden="1" customHeight="1">
      <c r="A33" s="353" t="s">
        <v>310</v>
      </c>
      <c r="B33" s="354"/>
      <c r="C33" s="433" t="s">
        <v>284</v>
      </c>
      <c r="D33" s="434" t="s">
        <v>284</v>
      </c>
      <c r="E33" s="434" t="s">
        <v>284</v>
      </c>
      <c r="F33" s="435">
        <f>ROUND(F31*F32,4)</f>
        <v>0</v>
      </c>
      <c r="G33" s="436"/>
      <c r="H33" s="437"/>
      <c r="I33" s="438"/>
      <c r="J33" s="438"/>
      <c r="K33" s="439"/>
      <c r="L33" s="440"/>
      <c r="M33" s="441"/>
    </row>
    <row r="34" spans="1:16" ht="24.75" hidden="1" customHeight="1">
      <c r="A34" s="361" t="s">
        <v>287</v>
      </c>
      <c r="B34" s="362" t="s">
        <v>311</v>
      </c>
      <c r="C34" s="363" t="e">
        <f>#N/A</f>
        <v>#N/A</v>
      </c>
      <c r="D34" s="339" t="s">
        <v>284</v>
      </c>
      <c r="E34" s="339" t="s">
        <v>284</v>
      </c>
      <c r="F34" s="365">
        <f>F33</f>
        <v>0</v>
      </c>
      <c r="G34" s="442" t="e">
        <f>C34*F34*12</f>
        <v>#N/A</v>
      </c>
      <c r="H34" s="314" t="e">
        <f>C34</f>
        <v>#N/A</v>
      </c>
      <c r="I34" s="292"/>
      <c r="J34" s="292"/>
      <c r="K34" s="368"/>
      <c r="L34" s="443"/>
      <c r="M34" s="370"/>
      <c r="N34" s="444"/>
    </row>
    <row r="35" spans="1:16" ht="15" hidden="1" customHeight="1">
      <c r="A35" s="345" t="s">
        <v>289</v>
      </c>
      <c r="B35" s="346" t="s">
        <v>290</v>
      </c>
      <c r="C35" s="445">
        <v>0.4</v>
      </c>
      <c r="D35" s="339" t="s">
        <v>284</v>
      </c>
      <c r="E35" s="339" t="s">
        <v>284</v>
      </c>
      <c r="F35" s="339" t="s">
        <v>284</v>
      </c>
      <c r="G35" s="446" t="e">
        <f>G34*C35</f>
        <v>#N/A</v>
      </c>
      <c r="H35" s="447">
        <v>0.5</v>
      </c>
      <c r="I35" s="448"/>
      <c r="J35" s="448"/>
      <c r="K35" s="449"/>
      <c r="L35" s="450"/>
      <c r="M35" s="451"/>
    </row>
    <row r="36" spans="1:16" s="107" customFormat="1" ht="15" hidden="1" customHeight="1">
      <c r="A36" s="374" t="s">
        <v>291</v>
      </c>
      <c r="B36" s="375" t="s">
        <v>292</v>
      </c>
      <c r="C36" s="376" t="s">
        <v>284</v>
      </c>
      <c r="D36" s="377" t="s">
        <v>284</v>
      </c>
      <c r="E36" s="377" t="s">
        <v>284</v>
      </c>
      <c r="F36" s="377" t="s">
        <v>284</v>
      </c>
      <c r="G36" s="378" t="e">
        <f>G34+G35</f>
        <v>#N/A</v>
      </c>
      <c r="H36" s="452"/>
      <c r="I36" s="453"/>
      <c r="J36" s="453"/>
      <c r="K36" s="454"/>
      <c r="L36" s="455"/>
      <c r="M36" s="456"/>
    </row>
    <row r="37" spans="1:16" s="464" customFormat="1" ht="15" hidden="1" customHeight="1">
      <c r="A37" s="341" t="s">
        <v>112</v>
      </c>
      <c r="B37" s="430" t="s">
        <v>290</v>
      </c>
      <c r="C37" s="457">
        <f>'Постоянные конст'!B3</f>
        <v>0.20200000000000001</v>
      </c>
      <c r="D37" s="339" t="s">
        <v>284</v>
      </c>
      <c r="E37" s="339" t="s">
        <v>284</v>
      </c>
      <c r="F37" s="339" t="s">
        <v>284</v>
      </c>
      <c r="G37" s="458" t="e">
        <f>G36*C37</f>
        <v>#N/A</v>
      </c>
      <c r="H37" s="459">
        <v>0.26200000000000001</v>
      </c>
      <c r="I37" s="460"/>
      <c r="J37" s="460"/>
      <c r="K37" s="461"/>
      <c r="L37" s="462"/>
      <c r="M37" s="463"/>
    </row>
    <row r="38" spans="1:16" s="464" customFormat="1" ht="15" hidden="1" customHeight="1">
      <c r="A38" s="404" t="s">
        <v>312</v>
      </c>
      <c r="B38" s="387" t="s">
        <v>293</v>
      </c>
      <c r="C38" s="388">
        <f>'спец инв'!K25</f>
        <v>0</v>
      </c>
      <c r="D38" s="406" t="s">
        <v>284</v>
      </c>
      <c r="E38" s="406" t="s">
        <v>284</v>
      </c>
      <c r="F38" s="343">
        <f>F33</f>
        <v>0</v>
      </c>
      <c r="G38" s="465">
        <f>C38*F38</f>
        <v>0</v>
      </c>
      <c r="H38" s="466"/>
      <c r="I38" s="467"/>
      <c r="J38" s="467"/>
      <c r="K38" s="467"/>
      <c r="L38" s="468"/>
      <c r="M38" s="469"/>
    </row>
    <row r="39" spans="1:16" s="464" customFormat="1" ht="15" hidden="1" customHeight="1">
      <c r="A39" s="404" t="s">
        <v>313</v>
      </c>
      <c r="B39" s="387" t="s">
        <v>293</v>
      </c>
      <c r="C39" s="388">
        <f>'спец инв'!K72</f>
        <v>0</v>
      </c>
      <c r="D39" s="406" t="s">
        <v>284</v>
      </c>
      <c r="E39" s="406" t="s">
        <v>284</v>
      </c>
      <c r="F39" s="343">
        <f>F33</f>
        <v>0</v>
      </c>
      <c r="G39" s="465">
        <f>C39*F39</f>
        <v>0</v>
      </c>
      <c r="H39" s="466"/>
      <c r="I39" s="470"/>
      <c r="J39" s="467"/>
      <c r="K39" s="467"/>
      <c r="L39" s="468"/>
      <c r="M39" s="469"/>
    </row>
    <row r="40" spans="1:16" s="464" customFormat="1" ht="15" hidden="1" customHeight="1">
      <c r="A40" s="404" t="s">
        <v>314</v>
      </c>
      <c r="B40" s="387" t="s">
        <v>293</v>
      </c>
      <c r="C40" s="388">
        <f>'спец инв'!K56</f>
        <v>0</v>
      </c>
      <c r="D40" s="406" t="s">
        <v>284</v>
      </c>
      <c r="E40" s="406" t="s">
        <v>284</v>
      </c>
      <c r="F40" s="343">
        <f>F33</f>
        <v>0</v>
      </c>
      <c r="G40" s="465">
        <f>C40*F40</f>
        <v>0</v>
      </c>
      <c r="H40" s="466"/>
      <c r="I40" s="470"/>
      <c r="J40" s="467"/>
      <c r="K40" s="467"/>
      <c r="L40" s="468"/>
      <c r="M40" s="469"/>
    </row>
    <row r="41" spans="1:16" s="464" customFormat="1" ht="15" hidden="1" customHeight="1">
      <c r="A41" s="404" t="s">
        <v>163</v>
      </c>
      <c r="B41" s="387" t="s">
        <v>315</v>
      </c>
      <c r="C41" s="471" t="s">
        <v>284</v>
      </c>
      <c r="D41" s="406" t="s">
        <v>284</v>
      </c>
      <c r="E41" s="406" t="s">
        <v>284</v>
      </c>
      <c r="F41" s="406" t="s">
        <v>284</v>
      </c>
      <c r="G41" s="465" t="e">
        <f>'спец инв'!K74</f>
        <v>#N/A</v>
      </c>
      <c r="H41" s="472"/>
      <c r="I41" s="473"/>
      <c r="J41" s="467"/>
      <c r="K41" s="467"/>
      <c r="L41" s="474"/>
      <c r="M41" s="469"/>
    </row>
    <row r="42" spans="1:16" s="107" customFormat="1" ht="30.75" hidden="1" customHeight="1">
      <c r="A42" s="393" t="s">
        <v>316</v>
      </c>
      <c r="B42" s="394"/>
      <c r="C42" s="395" t="s">
        <v>284</v>
      </c>
      <c r="D42" s="396" t="s">
        <v>284</v>
      </c>
      <c r="E42" s="396" t="s">
        <v>284</v>
      </c>
      <c r="F42" s="396" t="s">
        <v>284</v>
      </c>
      <c r="G42" s="475" t="e">
        <f>G36+G37+G38+G39+G40+G41</f>
        <v>#N/A</v>
      </c>
      <c r="H42" s="452"/>
      <c r="I42" s="453"/>
      <c r="J42" s="453"/>
      <c r="K42" s="454" t="e">
        <f>L42/12</f>
        <v>#N/A</v>
      </c>
      <c r="L42" s="476" t="e">
        <f>#N/A</f>
        <v>#N/A</v>
      </c>
      <c r="M42" s="370" t="e">
        <f>G42-L42</f>
        <v>#N/A</v>
      </c>
      <c r="P42" s="477"/>
    </row>
    <row r="43" spans="1:16" s="79" customFormat="1" ht="15" hidden="1" customHeight="1">
      <c r="A43" s="330" t="s">
        <v>317</v>
      </c>
      <c r="B43" s="96"/>
      <c r="C43" s="363"/>
      <c r="D43" s="364"/>
      <c r="E43" s="364"/>
      <c r="F43" s="478"/>
      <c r="G43" s="403"/>
      <c r="H43" s="319"/>
      <c r="I43" s="320"/>
      <c r="J43" s="320"/>
      <c r="K43" s="320"/>
      <c r="L43" s="322"/>
      <c r="M43" s="362"/>
      <c r="N43"/>
    </row>
    <row r="44" spans="1:16" s="10" customFormat="1" ht="27.75" hidden="1" customHeight="1">
      <c r="A44" s="341" t="s">
        <v>318</v>
      </c>
      <c r="B44" s="315"/>
      <c r="C44" s="406" t="s">
        <v>284</v>
      </c>
      <c r="D44" s="339">
        <f>'Исх. дан.'!D4</f>
        <v>51</v>
      </c>
      <c r="E44" s="339"/>
      <c r="F44" s="343"/>
      <c r="G44" s="340"/>
      <c r="H44" s="314"/>
      <c r="I44" s="292">
        <v>0</v>
      </c>
      <c r="J44" s="292">
        <v>0.23</v>
      </c>
      <c r="K44" s="344">
        <f>I44*J44</f>
        <v>0</v>
      </c>
      <c r="L44" s="258"/>
      <c r="M44" s="315"/>
      <c r="N44"/>
    </row>
    <row r="45" spans="1:16" s="10" customFormat="1" ht="15" hidden="1" customHeight="1">
      <c r="A45" s="341" t="s">
        <v>319</v>
      </c>
      <c r="B45" s="315"/>
      <c r="C45" s="406" t="s">
        <v>284</v>
      </c>
      <c r="D45" s="406" t="s">
        <v>284</v>
      </c>
      <c r="E45" s="406" t="s">
        <v>284</v>
      </c>
      <c r="F45" s="479">
        <v>1.1200000000000001</v>
      </c>
      <c r="G45" s="340"/>
      <c r="H45" s="314"/>
      <c r="I45" s="292"/>
      <c r="J45" s="292"/>
      <c r="K45" s="351">
        <f>10/249*K44</f>
        <v>0</v>
      </c>
      <c r="L45" s="258"/>
      <c r="M45" s="315"/>
      <c r="N45"/>
    </row>
    <row r="46" spans="1:16" s="306" customFormat="1" ht="18.75" hidden="1" customHeight="1">
      <c r="A46" s="480" t="s">
        <v>320</v>
      </c>
      <c r="B46" s="481"/>
      <c r="C46" s="482"/>
      <c r="D46" s="483"/>
      <c r="E46" s="483"/>
      <c r="F46" s="484">
        <f>F44*F45</f>
        <v>0</v>
      </c>
      <c r="G46" s="485"/>
      <c r="H46" s="486"/>
      <c r="I46" s="487"/>
      <c r="J46" s="487"/>
      <c r="K46" s="488">
        <f>SUM(K44:K45)</f>
        <v>0</v>
      </c>
      <c r="L46" s="489"/>
      <c r="M46" s="490"/>
      <c r="N46" s="491"/>
    </row>
    <row r="47" spans="1:16" s="10" customFormat="1" ht="25.5" hidden="1" customHeight="1">
      <c r="A47" s="341" t="s">
        <v>287</v>
      </c>
      <c r="B47" s="315" t="s">
        <v>311</v>
      </c>
      <c r="C47" s="338" t="e">
        <f>#N/A</f>
        <v>#N/A</v>
      </c>
      <c r="D47" s="339" t="s">
        <v>284</v>
      </c>
      <c r="E47" s="339" t="s">
        <v>284</v>
      </c>
      <c r="F47" s="365">
        <f>F46</f>
        <v>0</v>
      </c>
      <c r="G47" s="372" t="e">
        <f>C47*F47*12</f>
        <v>#N/A</v>
      </c>
      <c r="H47" s="314" t="e">
        <f>C47</f>
        <v>#N/A</v>
      </c>
      <c r="I47" s="292">
        <v>0</v>
      </c>
      <c r="J47" s="292">
        <v>675.64</v>
      </c>
      <c r="K47" s="368">
        <f>I47*J47</f>
        <v>0</v>
      </c>
      <c r="L47" s="369">
        <f>K47*12</f>
        <v>0</v>
      </c>
      <c r="M47" s="370" t="e">
        <f t="shared" ref="M47:M54" si="1">G47-L47</f>
        <v>#N/A</v>
      </c>
      <c r="N47"/>
    </row>
    <row r="48" spans="1:16" s="10" customFormat="1" ht="15" hidden="1" customHeight="1">
      <c r="A48" s="341" t="s">
        <v>289</v>
      </c>
      <c r="B48" s="315" t="s">
        <v>290</v>
      </c>
      <c r="C48" s="371">
        <v>0.4</v>
      </c>
      <c r="D48" s="339" t="s">
        <v>284</v>
      </c>
      <c r="E48" s="339" t="s">
        <v>284</v>
      </c>
      <c r="F48" s="339" t="s">
        <v>284</v>
      </c>
      <c r="G48" s="372" t="e">
        <f>G47*C48</f>
        <v>#N/A</v>
      </c>
      <c r="H48" s="373">
        <f>C48</f>
        <v>0.4</v>
      </c>
      <c r="I48" s="292">
        <v>0</v>
      </c>
      <c r="J48" s="292">
        <v>270.26</v>
      </c>
      <c r="K48" s="368">
        <f>I48*J48</f>
        <v>0</v>
      </c>
      <c r="L48" s="369">
        <f>K48*12</f>
        <v>0</v>
      </c>
      <c r="M48" s="370" t="e">
        <f t="shared" si="1"/>
        <v>#N/A</v>
      </c>
      <c r="N48"/>
    </row>
    <row r="49" spans="1:14" s="149" customFormat="1" ht="15" hidden="1" customHeight="1">
      <c r="A49" s="374" t="s">
        <v>291</v>
      </c>
      <c r="B49" s="375" t="s">
        <v>292</v>
      </c>
      <c r="C49" s="376" t="s">
        <v>284</v>
      </c>
      <c r="D49" s="377" t="s">
        <v>284</v>
      </c>
      <c r="E49" s="377" t="s">
        <v>284</v>
      </c>
      <c r="F49" s="377" t="s">
        <v>284</v>
      </c>
      <c r="G49" s="378" t="e">
        <f>G47+G48</f>
        <v>#N/A</v>
      </c>
      <c r="H49" s="335"/>
      <c r="I49" s="25"/>
      <c r="J49" s="25"/>
      <c r="K49" s="379">
        <f>SUM(K47:K48)</f>
        <v>0</v>
      </c>
      <c r="L49" s="380">
        <f>SUM(L47:L48)</f>
        <v>0</v>
      </c>
      <c r="M49" s="370" t="e">
        <f t="shared" si="1"/>
        <v>#N/A</v>
      </c>
      <c r="N49"/>
    </row>
    <row r="50" spans="1:14" s="10" customFormat="1" ht="15" hidden="1" customHeight="1">
      <c r="A50" s="341" t="s">
        <v>321</v>
      </c>
      <c r="B50" s="315" t="s">
        <v>290</v>
      </c>
      <c r="C50" s="381">
        <v>0.20200000000000001</v>
      </c>
      <c r="D50" s="339" t="s">
        <v>284</v>
      </c>
      <c r="E50" s="339" t="s">
        <v>284</v>
      </c>
      <c r="F50" s="339" t="s">
        <v>284</v>
      </c>
      <c r="G50" s="372" t="e">
        <f>G49*C50</f>
        <v>#N/A</v>
      </c>
      <c r="H50" s="492">
        <v>0.26200000000000001</v>
      </c>
      <c r="I50" s="292">
        <v>0</v>
      </c>
      <c r="J50" s="292">
        <v>299.64</v>
      </c>
      <c r="K50" s="368">
        <f>I50*J50</f>
        <v>0</v>
      </c>
      <c r="L50" s="493">
        <f>K50*12</f>
        <v>0</v>
      </c>
      <c r="M50" s="370" t="e">
        <f t="shared" si="1"/>
        <v>#N/A</v>
      </c>
      <c r="N50"/>
    </row>
    <row r="51" spans="1:14" s="12" customFormat="1" ht="15" hidden="1" customHeight="1">
      <c r="A51" s="404" t="s">
        <v>174</v>
      </c>
      <c r="B51" s="387" t="s">
        <v>293</v>
      </c>
      <c r="C51" s="388">
        <f>'спец инв'!K32</f>
        <v>0</v>
      </c>
      <c r="D51" s="494" t="s">
        <v>284</v>
      </c>
      <c r="E51" s="494" t="s">
        <v>284</v>
      </c>
      <c r="F51" s="495">
        <f>F46</f>
        <v>0</v>
      </c>
      <c r="G51" s="496">
        <f>C51*F51</f>
        <v>0</v>
      </c>
      <c r="H51" s="152"/>
      <c r="I51" s="292">
        <v>0</v>
      </c>
      <c r="J51" s="110">
        <v>8.91</v>
      </c>
      <c r="K51" s="368">
        <f>I51*J51</f>
        <v>0</v>
      </c>
      <c r="L51" s="493">
        <f>K51*12</f>
        <v>0</v>
      </c>
      <c r="M51" s="370">
        <f t="shared" si="1"/>
        <v>0</v>
      </c>
      <c r="N51"/>
    </row>
    <row r="52" spans="1:14" s="12" customFormat="1" ht="15" hidden="1" customHeight="1">
      <c r="A52" s="404" t="s">
        <v>143</v>
      </c>
      <c r="B52" s="387" t="s">
        <v>293</v>
      </c>
      <c r="C52" s="497">
        <f>'спец инв'!K82</f>
        <v>0</v>
      </c>
      <c r="D52" s="494" t="s">
        <v>284</v>
      </c>
      <c r="E52" s="494" t="s">
        <v>284</v>
      </c>
      <c r="F52" s="495">
        <f>F46</f>
        <v>0</v>
      </c>
      <c r="G52" s="496">
        <f>C52*F52</f>
        <v>0</v>
      </c>
      <c r="H52" s="152"/>
      <c r="I52" s="292">
        <v>0</v>
      </c>
      <c r="J52" s="110">
        <v>116.64</v>
      </c>
      <c r="K52" s="368">
        <f>I52*J52</f>
        <v>0</v>
      </c>
      <c r="L52" s="493">
        <f>K52*12</f>
        <v>0</v>
      </c>
      <c r="M52" s="370">
        <f t="shared" si="1"/>
        <v>0</v>
      </c>
      <c r="N52"/>
    </row>
    <row r="53" spans="1:14" s="12" customFormat="1" ht="15" hidden="1" customHeight="1">
      <c r="A53" s="498" t="s">
        <v>322</v>
      </c>
      <c r="B53" s="499"/>
      <c r="C53" s="500" t="s">
        <v>284</v>
      </c>
      <c r="D53" s="494" t="s">
        <v>284</v>
      </c>
      <c r="E53" s="494" t="s">
        <v>284</v>
      </c>
      <c r="F53" s="339" t="s">
        <v>284</v>
      </c>
      <c r="G53" s="392">
        <f>'спец инв'!K91</f>
        <v>0</v>
      </c>
      <c r="H53" s="152"/>
      <c r="I53" s="292">
        <v>0</v>
      </c>
      <c r="J53" s="110"/>
      <c r="K53" s="368">
        <f>I53*J53</f>
        <v>0</v>
      </c>
      <c r="L53" s="493">
        <f>K53*12</f>
        <v>0</v>
      </c>
      <c r="M53" s="370">
        <f t="shared" si="1"/>
        <v>0</v>
      </c>
      <c r="N53"/>
    </row>
    <row r="54" spans="1:14" s="107" customFormat="1" ht="27.75" hidden="1" customHeight="1">
      <c r="A54" s="393" t="s">
        <v>323</v>
      </c>
      <c r="B54" s="394"/>
      <c r="C54" s="395" t="s">
        <v>284</v>
      </c>
      <c r="D54" s="396" t="s">
        <v>284</v>
      </c>
      <c r="E54" s="396" t="s">
        <v>284</v>
      </c>
      <c r="F54" s="396" t="s">
        <v>284</v>
      </c>
      <c r="G54" s="501" t="e">
        <f>G49+G50+G51+G52+G53</f>
        <v>#N/A</v>
      </c>
      <c r="H54" s="502"/>
      <c r="I54" s="503"/>
      <c r="J54" s="503">
        <f>SUM(J47:J53)</f>
        <v>1371.0900000000001</v>
      </c>
      <c r="K54" s="504">
        <f>SUM(K49:K53)</f>
        <v>0</v>
      </c>
      <c r="L54" s="505">
        <f>SUM(L49:L53)</f>
        <v>0</v>
      </c>
      <c r="M54" s="456" t="e">
        <f t="shared" si="1"/>
        <v>#N/A</v>
      </c>
      <c r="N54"/>
    </row>
    <row r="55" spans="1:14" s="515" customFormat="1" ht="15" customHeight="1">
      <c r="A55" s="506" t="str">
        <f>'[3]спец инв'!A96</f>
        <v>Мыло хозяйственное</v>
      </c>
      <c r="B55" s="507"/>
      <c r="C55" s="500" t="s">
        <v>284</v>
      </c>
      <c r="D55" s="494" t="s">
        <v>284</v>
      </c>
      <c r="E55" s="494" t="s">
        <v>284</v>
      </c>
      <c r="F55" s="339" t="s">
        <v>284</v>
      </c>
      <c r="G55" s="508">
        <f>'спец инв'!K95+'спец инв'!K98</f>
        <v>125.72832000000002</v>
      </c>
      <c r="H55" s="509"/>
      <c r="I55" s="510"/>
      <c r="J55" s="510"/>
      <c r="K55" s="511"/>
      <c r="L55" s="512"/>
      <c r="M55" s="513"/>
      <c r="N55" s="514"/>
    </row>
    <row r="56" spans="1:14" s="515" customFormat="1" ht="15" customHeight="1">
      <c r="A56" s="516" t="s">
        <v>171</v>
      </c>
      <c r="B56" s="517"/>
      <c r="C56" s="500" t="s">
        <v>284</v>
      </c>
      <c r="D56" s="494" t="s">
        <v>284</v>
      </c>
      <c r="E56" s="494" t="s">
        <v>284</v>
      </c>
      <c r="F56" s="339" t="s">
        <v>284</v>
      </c>
      <c r="G56" s="508">
        <f>'спец инв'!K96+'спец инв'!K99</f>
        <v>72.321600000000004</v>
      </c>
      <c r="H56" s="509"/>
      <c r="I56" s="510"/>
      <c r="J56" s="510"/>
      <c r="K56" s="511"/>
      <c r="L56" s="512"/>
      <c r="M56" s="513"/>
      <c r="N56" s="514"/>
    </row>
    <row r="57" spans="1:14" s="515" customFormat="1" ht="15" customHeight="1">
      <c r="A57" s="518" t="s">
        <v>260</v>
      </c>
      <c r="B57" s="519"/>
      <c r="C57" s="500" t="s">
        <v>284</v>
      </c>
      <c r="D57" s="494" t="s">
        <v>284</v>
      </c>
      <c r="E57" s="494" t="s">
        <v>284</v>
      </c>
      <c r="F57" s="348" t="s">
        <v>284</v>
      </c>
      <c r="G57" s="392">
        <f>'спец инв'!K104</f>
        <v>363.5</v>
      </c>
      <c r="H57" s="509"/>
      <c r="I57" s="510"/>
      <c r="J57" s="510"/>
      <c r="K57" s="511"/>
      <c r="L57" s="512"/>
      <c r="M57" s="513"/>
      <c r="N57" s="514"/>
    </row>
    <row r="58" spans="1:14" s="515" customFormat="1" ht="15" customHeight="1">
      <c r="A58" s="518" t="s">
        <v>261</v>
      </c>
      <c r="B58" s="520"/>
      <c r="C58" s="521" t="s">
        <v>284</v>
      </c>
      <c r="D58" s="522" t="s">
        <v>284</v>
      </c>
      <c r="E58" s="522" t="s">
        <v>284</v>
      </c>
      <c r="F58" s="339" t="s">
        <v>284</v>
      </c>
      <c r="G58" s="390">
        <f>'спец инв'!K105</f>
        <v>0</v>
      </c>
      <c r="H58" s="509"/>
      <c r="I58" s="510"/>
      <c r="J58" s="510"/>
      <c r="K58" s="511"/>
      <c r="L58" s="512"/>
      <c r="M58" s="513"/>
      <c r="N58" s="514"/>
    </row>
    <row r="59" spans="1:14" s="515" customFormat="1" ht="15" customHeight="1">
      <c r="A59" s="523" t="s">
        <v>262</v>
      </c>
      <c r="B59" s="520"/>
      <c r="C59" s="521" t="s">
        <v>284</v>
      </c>
      <c r="D59" s="522" t="s">
        <v>284</v>
      </c>
      <c r="E59" s="522" t="s">
        <v>284</v>
      </c>
      <c r="F59" s="339" t="s">
        <v>284</v>
      </c>
      <c r="G59" s="390">
        <f>'спец инв'!K106</f>
        <v>72.7</v>
      </c>
      <c r="H59" s="509"/>
      <c r="I59" s="510"/>
      <c r="J59" s="510"/>
      <c r="K59" s="511"/>
      <c r="L59" s="512"/>
      <c r="M59" s="513"/>
      <c r="N59" s="514"/>
    </row>
    <row r="60" spans="1:14" s="515" customFormat="1" ht="29.25" customHeight="1">
      <c r="A60" s="524" t="s">
        <v>324</v>
      </c>
      <c r="B60" s="375" t="s">
        <v>292</v>
      </c>
      <c r="C60" s="525" t="s">
        <v>284</v>
      </c>
      <c r="D60" s="526" t="s">
        <v>284</v>
      </c>
      <c r="E60" s="526" t="s">
        <v>284</v>
      </c>
      <c r="F60" s="526" t="s">
        <v>284</v>
      </c>
      <c r="G60" s="527">
        <f>G55+G57+G58+G56+G59</f>
        <v>634.24992000000009</v>
      </c>
      <c r="H60" s="509"/>
      <c r="I60" s="510"/>
      <c r="J60" s="510"/>
      <c r="K60" s="511"/>
      <c r="L60" s="512"/>
      <c r="M60" s="513"/>
      <c r="N60" s="514"/>
    </row>
  </sheetData>
  <sheetProtection selectLockedCells="1" selectUnlockedCells="1"/>
  <mergeCells count="6">
    <mergeCell ref="A1:G1"/>
    <mergeCell ref="A3:A4"/>
    <mergeCell ref="B3:B4"/>
    <mergeCell ref="C3:G3"/>
    <mergeCell ref="H3:L3"/>
    <mergeCell ref="N12:P12"/>
  </mergeCells>
  <pageMargins left="0.19652777777777777" right="0" top="0.59027777777777779" bottom="0.39375000000000004" header="0.51180555555555551" footer="0.11805555555555555"/>
  <pageSetup paperSize="9" scale="90" firstPageNumber="0" orientation="portrait" horizontalDpi="300" verticalDpi="300"/>
  <headerFooter alignWithMargins="0">
    <oddFooter>&amp;CСтраница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B1" zoomScale="70" zoomScaleNormal="70" workbookViewId="0">
      <selection activeCell="G12" sqref="G12"/>
    </sheetView>
  </sheetViews>
  <sheetFormatPr defaultColWidth="8.7109375" defaultRowHeight="12.75"/>
  <cols>
    <col min="1" max="1" width="23.42578125" customWidth="1"/>
    <col min="2" max="2" width="26.85546875" customWidth="1"/>
    <col min="3" max="3" width="12.7109375" customWidth="1"/>
    <col min="4" max="4" width="12.28515625" customWidth="1"/>
    <col min="5" max="5" width="11.28515625" customWidth="1"/>
    <col min="6" max="6" width="12.140625" customWidth="1"/>
    <col min="7" max="7" width="14" customWidth="1"/>
    <col min="8" max="8" width="23" customWidth="1"/>
  </cols>
  <sheetData>
    <row r="1" spans="1:14" ht="25.5">
      <c r="A1" t="s">
        <v>325</v>
      </c>
      <c r="B1" s="10" t="s">
        <v>326</v>
      </c>
    </row>
    <row r="2" spans="1:14">
      <c r="A2" t="s">
        <v>327</v>
      </c>
      <c r="B2" t="s">
        <v>328</v>
      </c>
      <c r="C2" t="s">
        <v>329</v>
      </c>
    </row>
    <row r="3" spans="1:14" ht="18" customHeight="1">
      <c r="A3" s="834" t="s">
        <v>330</v>
      </c>
      <c r="B3" s="834"/>
      <c r="C3" s="834"/>
      <c r="D3" s="834"/>
      <c r="E3" s="834"/>
      <c r="F3" s="834"/>
      <c r="G3" s="834"/>
      <c r="H3" s="834"/>
      <c r="J3" s="835" t="s">
        <v>331</v>
      </c>
      <c r="K3" s="836" t="s">
        <v>332</v>
      </c>
      <c r="L3" s="836"/>
      <c r="M3" s="836"/>
      <c r="N3" s="836"/>
    </row>
    <row r="4" spans="1:14" ht="12.75" customHeight="1">
      <c r="A4" s="837" t="s">
        <v>333</v>
      </c>
      <c r="B4" s="837" t="s">
        <v>334</v>
      </c>
      <c r="C4" s="837" t="s">
        <v>335</v>
      </c>
      <c r="D4" s="837"/>
      <c r="E4" s="837"/>
      <c r="F4" s="837" t="s">
        <v>336</v>
      </c>
      <c r="G4" s="837" t="s">
        <v>337</v>
      </c>
      <c r="H4" s="1"/>
      <c r="J4" s="835"/>
      <c r="K4" s="836"/>
      <c r="L4" s="836"/>
      <c r="M4" s="836"/>
      <c r="N4" s="836"/>
    </row>
    <row r="5" spans="1:14" ht="51" customHeight="1">
      <c r="A5" s="837"/>
      <c r="B5" s="837"/>
      <c r="C5" s="8" t="s">
        <v>326</v>
      </c>
      <c r="D5" s="8" t="s">
        <v>338</v>
      </c>
      <c r="E5" s="8" t="s">
        <v>339</v>
      </c>
      <c r="F5" s="837"/>
      <c r="G5" s="837"/>
      <c r="H5" s="528" t="s">
        <v>340</v>
      </c>
      <c r="J5" s="54">
        <v>0.9</v>
      </c>
      <c r="K5" s="529" t="s">
        <v>341</v>
      </c>
      <c r="L5" s="529"/>
      <c r="M5" s="836" t="s">
        <v>342</v>
      </c>
      <c r="N5" s="836"/>
    </row>
    <row r="6" spans="1:14" ht="39.75" customHeight="1">
      <c r="A6" s="838" t="s">
        <v>343</v>
      </c>
      <c r="B6" s="8" t="s">
        <v>344</v>
      </c>
      <c r="C6" s="839">
        <v>7.6300000000000007E-2</v>
      </c>
      <c r="D6" s="839"/>
      <c r="E6" s="839"/>
      <c r="F6" s="1">
        <f>'Исх. дан.'!D11</f>
        <v>769</v>
      </c>
      <c r="G6" s="530">
        <f>F6/1000*C6*1.1*1.12</f>
        <v>7.2287230400000013E-2</v>
      </c>
      <c r="H6" s="8" t="s">
        <v>345</v>
      </c>
      <c r="J6" s="54">
        <v>1</v>
      </c>
      <c r="K6" s="529" t="s">
        <v>346</v>
      </c>
      <c r="L6" s="529"/>
      <c r="M6" s="835"/>
      <c r="N6" s="835"/>
    </row>
    <row r="7" spans="1:14" ht="39.75">
      <c r="A7" s="838"/>
      <c r="B7" s="8" t="s">
        <v>347</v>
      </c>
      <c r="C7" s="839">
        <v>5.9499999999999997E-2</v>
      </c>
      <c r="D7" s="839"/>
      <c r="E7" s="839"/>
      <c r="F7" s="1">
        <f>'Исх. дан.'!D11</f>
        <v>769</v>
      </c>
      <c r="G7" s="530">
        <f>F7/1000*C7*1.1*1.12</f>
        <v>5.6370776000000004E-2</v>
      </c>
      <c r="H7" s="8" t="s">
        <v>348</v>
      </c>
      <c r="J7" s="54">
        <v>1.1000000000000001</v>
      </c>
      <c r="K7" s="840" t="s">
        <v>349</v>
      </c>
      <c r="L7" s="840"/>
      <c r="M7" s="840"/>
      <c r="N7" s="840"/>
    </row>
    <row r="8" spans="1:14" ht="18.75" customHeight="1">
      <c r="A8" s="8" t="s">
        <v>135</v>
      </c>
      <c r="B8" s="8" t="s">
        <v>350</v>
      </c>
      <c r="C8" s="1">
        <v>2.0480000000000002E-2</v>
      </c>
      <c r="D8" s="1">
        <v>2.2950000000000005E-2</v>
      </c>
      <c r="E8" s="1">
        <v>2.4850000000000004E-2</v>
      </c>
      <c r="F8" s="1">
        <f>'Исх. дан.'!$D$9+0.5*('Исх. дан.'!$D$6+'Исх. дан.'!$D$7)+'Исх. дан.'!$D$10*0.5</f>
        <v>759</v>
      </c>
      <c r="G8" s="530">
        <f>IF(B1=C5,C8/1000*F8*1.1,IF(B1=D5,D8/1000*F8*1.1,E8/1000*F8*1.1))*1.12</f>
        <v>1.9150602240000005E-2</v>
      </c>
      <c r="H8" s="8" t="s">
        <v>351</v>
      </c>
    </row>
    <row r="9" spans="1:14" ht="18" customHeight="1">
      <c r="A9" s="1" t="s">
        <v>136</v>
      </c>
      <c r="B9" s="8" t="s">
        <v>350</v>
      </c>
      <c r="C9" s="1">
        <v>3.065E-2</v>
      </c>
      <c r="D9" s="1">
        <v>5.3899999999999998E-3</v>
      </c>
      <c r="E9" s="1">
        <v>3.4869999999999998E-2</v>
      </c>
      <c r="F9" s="1">
        <f>'Исх. дан.'!$D$9+0.5*('Исх. дан.'!$D$6+'Исх. дан.'!$D$7)+'Исх. дан.'!$D$10*0.5</f>
        <v>759</v>
      </c>
      <c r="G9" s="530">
        <f>IF(B1=C5,C9/1000*F9*1.1,IF(B1=D5,D9/1000*F9*1.1,E9/1000*F9*1.1))*1.12</f>
        <v>2.8660447200000005E-2</v>
      </c>
      <c r="H9" s="8" t="s">
        <v>352</v>
      </c>
    </row>
    <row r="10" spans="1:14" ht="18" customHeight="1">
      <c r="A10" s="1" t="s">
        <v>138</v>
      </c>
      <c r="B10" s="8" t="s">
        <v>350</v>
      </c>
      <c r="C10" s="842">
        <v>1.6310000000000002E-2</v>
      </c>
      <c r="D10" s="842"/>
      <c r="E10" s="1">
        <v>1.6199999999999999E-2</v>
      </c>
      <c r="F10" s="1">
        <f>'Исх. дан.'!$D$9+0.5*('Исх. дан.'!$D$6+'Исх. дан.'!$D$7)+'Исх. дан.'!$D$10*0.5</f>
        <v>759</v>
      </c>
      <c r="G10" s="530">
        <f>IF(B1=E5,E10/1000*F10*1.1,C10/1000*F10*1.1)*1.12</f>
        <v>1.5251285280000004E-2</v>
      </c>
      <c r="H10" s="8" t="s">
        <v>353</v>
      </c>
    </row>
    <row r="11" spans="1:14" ht="15.95" customHeight="1">
      <c r="A11" s="1" t="s">
        <v>139</v>
      </c>
      <c r="B11" s="8" t="s">
        <v>354</v>
      </c>
      <c r="C11" s="843">
        <v>2.63E-2</v>
      </c>
      <c r="D11" s="843"/>
      <c r="E11" s="843"/>
      <c r="F11" s="1">
        <f>'Исх. дан.'!D12+'Исх. дан.'!D14</f>
        <v>480</v>
      </c>
      <c r="G11" s="530">
        <f>C11/1000*F11*1.1*1.12</f>
        <v>1.5552768000000002E-2</v>
      </c>
      <c r="H11" s="8" t="s">
        <v>355</v>
      </c>
    </row>
    <row r="13" spans="1:14">
      <c r="A13" t="s">
        <v>356</v>
      </c>
      <c r="B13">
        <f>ROUND(IF(B2="твердое покрытие",G7*'ЗП персонала'!G2+'Конструктивные элементы'!G8*'ЗП персонала'!G3+'Конструктивные элементы'!G9*'ЗП персонала'!G4+'Конструктивные элементы'!G10*'ЗП персонала'!G6+'Конструктивные элементы'!G11*'ЗП персонала'!G7,G6*'ЗП персонала'!G2+'Конструктивные элементы'!G8*'ЗП персонала'!G3+'Конструктивные элементы'!G9*'ЗП персонала'!G4+'Конструктивные элементы'!G10*'ЗП персонала'!G6+'Конструктивные элементы'!G11*'ЗП персонала'!G7),2)</f>
        <v>43004.08</v>
      </c>
    </row>
    <row r="15" spans="1:14" ht="18.75" customHeight="1">
      <c r="A15" s="844" t="s">
        <v>174</v>
      </c>
      <c r="B15" s="844"/>
      <c r="C15" s="844"/>
      <c r="D15" s="844"/>
      <c r="E15" s="844"/>
      <c r="F15" s="844"/>
      <c r="G15" s="844"/>
    </row>
    <row r="16" spans="1:14" ht="38.25">
      <c r="A16" s="531" t="s">
        <v>126</v>
      </c>
      <c r="B16" s="532" t="s">
        <v>357</v>
      </c>
      <c r="C16" s="532" t="s">
        <v>334</v>
      </c>
      <c r="D16" s="532" t="s">
        <v>358</v>
      </c>
      <c r="E16" s="532" t="s">
        <v>359</v>
      </c>
      <c r="F16" s="532" t="s">
        <v>360</v>
      </c>
      <c r="G16" s="533" t="s">
        <v>361</v>
      </c>
    </row>
    <row r="17" spans="1:7" ht="51" customHeight="1">
      <c r="A17" s="841" t="s">
        <v>134</v>
      </c>
      <c r="B17" s="534" t="s">
        <v>362</v>
      </c>
      <c r="C17" s="534" t="s">
        <v>60</v>
      </c>
      <c r="D17" s="534">
        <v>12</v>
      </c>
      <c r="E17" s="534">
        <f>12/D17</f>
        <v>1</v>
      </c>
      <c r="F17" s="534">
        <f>Цены!C44</f>
        <v>733.83</v>
      </c>
      <c r="G17" s="535">
        <f t="shared" ref="G17:G23" si="0">ROUND(IF($B$2="твердое покрытие",$G$7*E17*F17,$G$6*E17*F17),2)</f>
        <v>41.37</v>
      </c>
    </row>
    <row r="18" spans="1:7">
      <c r="A18" s="841"/>
      <c r="B18" s="18" t="s">
        <v>189</v>
      </c>
      <c r="C18" s="18" t="s">
        <v>363</v>
      </c>
      <c r="D18" s="18">
        <v>24</v>
      </c>
      <c r="E18" s="18">
        <v>0</v>
      </c>
      <c r="F18" s="18">
        <f>Цены!C45</f>
        <v>800</v>
      </c>
      <c r="G18" s="536">
        <f t="shared" si="0"/>
        <v>0</v>
      </c>
    </row>
    <row r="19" spans="1:7">
      <c r="A19" s="841"/>
      <c r="B19" s="18" t="s">
        <v>190</v>
      </c>
      <c r="C19" s="18" t="s">
        <v>60</v>
      </c>
      <c r="D19" s="18" t="s">
        <v>364</v>
      </c>
      <c r="E19" s="18">
        <v>1</v>
      </c>
      <c r="F19" s="18">
        <f>Цены!C46</f>
        <v>73.34</v>
      </c>
      <c r="G19" s="536">
        <f t="shared" si="0"/>
        <v>4.13</v>
      </c>
    </row>
    <row r="20" spans="1:7">
      <c r="A20" s="841"/>
      <c r="B20" s="18" t="s">
        <v>191</v>
      </c>
      <c r="C20" s="18" t="s">
        <v>60</v>
      </c>
      <c r="D20" s="18">
        <v>24</v>
      </c>
      <c r="E20" s="18">
        <f>12/D20</f>
        <v>0.5</v>
      </c>
      <c r="F20" s="18">
        <f>Цены!C47</f>
        <v>49.97</v>
      </c>
      <c r="G20" s="536">
        <f t="shared" si="0"/>
        <v>1.41</v>
      </c>
    </row>
    <row r="21" spans="1:7" ht="25.5">
      <c r="A21" s="841"/>
      <c r="B21" s="18" t="s">
        <v>192</v>
      </c>
      <c r="C21" s="18" t="s">
        <v>60</v>
      </c>
      <c r="D21" s="18" t="s">
        <v>364</v>
      </c>
      <c r="E21" s="18">
        <v>1</v>
      </c>
      <c r="F21" s="18">
        <f>Цены!C48</f>
        <v>1500</v>
      </c>
      <c r="G21" s="536">
        <f t="shared" si="0"/>
        <v>84.56</v>
      </c>
    </row>
    <row r="22" spans="1:7" ht="25.5">
      <c r="A22" s="841"/>
      <c r="B22" s="18" t="s">
        <v>183</v>
      </c>
      <c r="C22" s="18" t="s">
        <v>60</v>
      </c>
      <c r="D22" s="18">
        <v>30</v>
      </c>
      <c r="E22" s="18">
        <f>12/D22</f>
        <v>0.4</v>
      </c>
      <c r="F22" s="18">
        <f>Цены!C39</f>
        <v>1366</v>
      </c>
      <c r="G22" s="536">
        <f t="shared" si="0"/>
        <v>30.8</v>
      </c>
    </row>
    <row r="23" spans="1:7" ht="25.5">
      <c r="A23" s="841"/>
      <c r="B23" s="29" t="s">
        <v>193</v>
      </c>
      <c r="C23" s="29" t="s">
        <v>60</v>
      </c>
      <c r="D23" s="29">
        <v>30</v>
      </c>
      <c r="E23" s="29">
        <f>12/D23</f>
        <v>0.4</v>
      </c>
      <c r="F23" s="29">
        <f>Цены!C49</f>
        <v>366.41</v>
      </c>
      <c r="G23" s="537">
        <f t="shared" si="0"/>
        <v>8.26</v>
      </c>
    </row>
    <row r="24" spans="1:7" ht="12.75" customHeight="1">
      <c r="A24" s="841" t="s">
        <v>135</v>
      </c>
      <c r="B24" s="534" t="s">
        <v>175</v>
      </c>
      <c r="C24" s="534" t="s">
        <v>60</v>
      </c>
      <c r="D24" s="534">
        <v>12</v>
      </c>
      <c r="E24" s="534">
        <f>12/D24</f>
        <v>1</v>
      </c>
      <c r="F24" s="534">
        <f>Цены!C31</f>
        <v>721</v>
      </c>
      <c r="G24" s="535">
        <f>ROUND($G$8*E24*F24,2)</f>
        <v>13.81</v>
      </c>
    </row>
    <row r="25" spans="1:7" ht="25.5">
      <c r="A25" s="841"/>
      <c r="B25" s="18" t="s">
        <v>176</v>
      </c>
      <c r="C25" s="18" t="s">
        <v>60</v>
      </c>
      <c r="D25" s="18">
        <v>12</v>
      </c>
      <c r="E25" s="18">
        <f>12/D25</f>
        <v>1</v>
      </c>
      <c r="F25" s="18">
        <f>Цены!C32</f>
        <v>340</v>
      </c>
      <c r="G25" s="536">
        <f>ROUND($G$8*E25*F25,2)</f>
        <v>6.51</v>
      </c>
    </row>
    <row r="26" spans="1:7">
      <c r="A26" s="841"/>
      <c r="B26" s="18" t="s">
        <v>224</v>
      </c>
      <c r="C26" s="18" t="s">
        <v>363</v>
      </c>
      <c r="D26" s="18">
        <v>12</v>
      </c>
      <c r="E26" s="18">
        <v>0</v>
      </c>
      <c r="F26" s="18">
        <f>Цены!C33</f>
        <v>1039.8900000000001</v>
      </c>
      <c r="G26" s="536">
        <f>ROUND($G$8*E26*F26,2)</f>
        <v>0</v>
      </c>
    </row>
    <row r="27" spans="1:7" ht="25.5">
      <c r="A27" s="841"/>
      <c r="B27" s="18" t="s">
        <v>185</v>
      </c>
      <c r="C27" s="18" t="s">
        <v>363</v>
      </c>
      <c r="D27" s="18">
        <v>1</v>
      </c>
      <c r="E27" s="18">
        <f>12/D27</f>
        <v>12</v>
      </c>
      <c r="F27" s="18">
        <f>Цены!C41</f>
        <v>69</v>
      </c>
      <c r="G27" s="536">
        <f>ROUND($G$8*E27*F27,2)</f>
        <v>15.86</v>
      </c>
    </row>
    <row r="28" spans="1:7" ht="25.5">
      <c r="A28" s="841"/>
      <c r="B28" s="29" t="s">
        <v>183</v>
      </c>
      <c r="C28" s="29" t="s">
        <v>60</v>
      </c>
      <c r="D28" s="29">
        <v>30</v>
      </c>
      <c r="E28" s="29">
        <f>12/D28</f>
        <v>0.4</v>
      </c>
      <c r="F28" s="29">
        <f>Цены!C39</f>
        <v>1366</v>
      </c>
      <c r="G28" s="537">
        <f>ROUND($G$8*E28*F28,2)</f>
        <v>10.46</v>
      </c>
    </row>
    <row r="29" spans="1:7" ht="12.75" customHeight="1">
      <c r="A29" s="841" t="s">
        <v>136</v>
      </c>
      <c r="B29" s="534" t="s">
        <v>175</v>
      </c>
      <c r="C29" s="534" t="s">
        <v>60</v>
      </c>
      <c r="D29" s="534">
        <v>12</v>
      </c>
      <c r="E29" s="534">
        <f>12/D29</f>
        <v>1</v>
      </c>
      <c r="F29" s="534">
        <f>Цены!C31</f>
        <v>721</v>
      </c>
      <c r="G29" s="535">
        <f t="shared" ref="G29:G34" si="1">ROUND($G$9*E29*F29,2)</f>
        <v>20.66</v>
      </c>
    </row>
    <row r="30" spans="1:7">
      <c r="A30" s="841"/>
      <c r="B30" s="18" t="s">
        <v>224</v>
      </c>
      <c r="C30" s="18" t="s">
        <v>363</v>
      </c>
      <c r="D30" s="18">
        <v>12</v>
      </c>
      <c r="E30" s="18">
        <v>0</v>
      </c>
      <c r="F30" s="18">
        <f>Цены!C33</f>
        <v>1039.8900000000001</v>
      </c>
      <c r="G30" s="536">
        <f t="shared" si="1"/>
        <v>0</v>
      </c>
    </row>
    <row r="31" spans="1:7">
      <c r="A31" s="841"/>
      <c r="B31" s="18" t="s">
        <v>179</v>
      </c>
      <c r="C31" s="18" t="s">
        <v>363</v>
      </c>
      <c r="D31" s="18">
        <v>1</v>
      </c>
      <c r="E31" s="18">
        <f t="shared" ref="E31:E36" si="2">12/D31</f>
        <v>12</v>
      </c>
      <c r="F31" s="18">
        <f>Цены!C35</f>
        <v>15.57</v>
      </c>
      <c r="G31" s="536">
        <f t="shared" si="1"/>
        <v>5.35</v>
      </c>
    </row>
    <row r="32" spans="1:7">
      <c r="A32" s="841"/>
      <c r="B32" s="18" t="s">
        <v>365</v>
      </c>
      <c r="C32" s="18" t="s">
        <v>363</v>
      </c>
      <c r="D32" s="18">
        <v>0.5</v>
      </c>
      <c r="E32" s="18">
        <f t="shared" si="2"/>
        <v>24</v>
      </c>
      <c r="F32" s="18">
        <f>Цены!C36</f>
        <v>21</v>
      </c>
      <c r="G32" s="536">
        <f t="shared" si="1"/>
        <v>14.44</v>
      </c>
    </row>
    <row r="33" spans="1:7" ht="25.5">
      <c r="A33" s="841"/>
      <c r="B33" s="18" t="s">
        <v>183</v>
      </c>
      <c r="C33" s="18" t="s">
        <v>60</v>
      </c>
      <c r="D33" s="18">
        <v>30</v>
      </c>
      <c r="E33" s="18">
        <f t="shared" si="2"/>
        <v>0.4</v>
      </c>
      <c r="F33" s="18">
        <f>Цены!C39</f>
        <v>1366</v>
      </c>
      <c r="G33" s="536">
        <f t="shared" si="1"/>
        <v>15.66</v>
      </c>
    </row>
    <row r="34" spans="1:7" ht="25.5">
      <c r="A34" s="841"/>
      <c r="B34" s="29" t="s">
        <v>193</v>
      </c>
      <c r="C34" s="29" t="s">
        <v>60</v>
      </c>
      <c r="D34" s="29">
        <v>30</v>
      </c>
      <c r="E34" s="29">
        <f t="shared" si="2"/>
        <v>0.4</v>
      </c>
      <c r="F34" s="29">
        <f>Цены!C49</f>
        <v>366.41</v>
      </c>
      <c r="G34" s="537">
        <f t="shared" si="1"/>
        <v>4.2</v>
      </c>
    </row>
    <row r="35" spans="1:7" ht="12.75" customHeight="1">
      <c r="A35" s="841" t="s">
        <v>138</v>
      </c>
      <c r="B35" s="534" t="s">
        <v>194</v>
      </c>
      <c r="C35" s="534" t="s">
        <v>60</v>
      </c>
      <c r="D35" s="534">
        <v>12</v>
      </c>
      <c r="E35" s="534">
        <f t="shared" si="2"/>
        <v>1</v>
      </c>
      <c r="F35" s="534">
        <f>Цены!C50</f>
        <v>1297</v>
      </c>
      <c r="G35" s="535">
        <f t="shared" ref="G35:G46" si="3">ROUND($G$10*E35*F35,2)</f>
        <v>19.78</v>
      </c>
    </row>
    <row r="36" spans="1:7">
      <c r="A36" s="841"/>
      <c r="B36" s="18" t="s">
        <v>195</v>
      </c>
      <c r="C36" s="18" t="s">
        <v>60</v>
      </c>
      <c r="D36" s="18">
        <v>12</v>
      </c>
      <c r="E36" s="18">
        <f t="shared" si="2"/>
        <v>1</v>
      </c>
      <c r="F36" s="18">
        <f>Цены!C51</f>
        <v>272.95</v>
      </c>
      <c r="G36" s="536">
        <f t="shared" si="3"/>
        <v>4.16</v>
      </c>
    </row>
    <row r="37" spans="1:7">
      <c r="A37" s="841"/>
      <c r="B37" s="18" t="s">
        <v>224</v>
      </c>
      <c r="C37" s="18" t="s">
        <v>363</v>
      </c>
      <c r="D37" s="18">
        <v>12</v>
      </c>
      <c r="E37" s="18">
        <v>0</v>
      </c>
      <c r="F37" s="18">
        <f>Цены!C33</f>
        <v>1039.8900000000001</v>
      </c>
      <c r="G37" s="536">
        <f t="shared" si="3"/>
        <v>0</v>
      </c>
    </row>
    <row r="38" spans="1:7">
      <c r="A38" s="841"/>
      <c r="B38" s="18" t="s">
        <v>196</v>
      </c>
      <c r="C38" s="18" t="s">
        <v>363</v>
      </c>
      <c r="D38" s="18">
        <v>1</v>
      </c>
      <c r="E38" s="18">
        <f>12/D38</f>
        <v>12</v>
      </c>
      <c r="F38" s="18">
        <f>Цены!C52</f>
        <v>28.02</v>
      </c>
      <c r="G38" s="536">
        <f t="shared" si="3"/>
        <v>5.13</v>
      </c>
    </row>
    <row r="39" spans="1:7">
      <c r="A39" s="841"/>
      <c r="B39" s="18" t="s">
        <v>186</v>
      </c>
      <c r="C39" s="18" t="s">
        <v>363</v>
      </c>
      <c r="D39" s="5" t="s">
        <v>366</v>
      </c>
      <c r="E39" s="5">
        <v>1</v>
      </c>
      <c r="F39" s="18">
        <f>Цены!C42</f>
        <v>142.13999999999999</v>
      </c>
      <c r="G39" s="536">
        <f t="shared" si="3"/>
        <v>2.17</v>
      </c>
    </row>
    <row r="40" spans="1:7">
      <c r="A40" s="841"/>
      <c r="B40" s="18" t="s">
        <v>187</v>
      </c>
      <c r="C40" s="18" t="s">
        <v>363</v>
      </c>
      <c r="D40" s="5" t="s">
        <v>366</v>
      </c>
      <c r="E40" s="5">
        <v>1</v>
      </c>
      <c r="F40" s="18">
        <f>Цены!C43</f>
        <v>521.17999999999995</v>
      </c>
      <c r="G40" s="536">
        <f t="shared" si="3"/>
        <v>7.95</v>
      </c>
    </row>
    <row r="41" spans="1:7">
      <c r="A41" s="841"/>
      <c r="B41" s="18" t="s">
        <v>367</v>
      </c>
      <c r="C41" s="18" t="s">
        <v>60</v>
      </c>
      <c r="D41" s="5" t="s">
        <v>364</v>
      </c>
      <c r="E41" s="5">
        <v>1</v>
      </c>
      <c r="F41" s="18">
        <f>Цены!C53</f>
        <v>175.1</v>
      </c>
      <c r="G41" s="536">
        <f t="shared" si="3"/>
        <v>2.67</v>
      </c>
    </row>
    <row r="42" spans="1:7">
      <c r="A42" s="841"/>
      <c r="B42" s="18" t="s">
        <v>191</v>
      </c>
      <c r="C42" s="18" t="s">
        <v>60</v>
      </c>
      <c r="D42" s="5">
        <v>24</v>
      </c>
      <c r="E42" s="5">
        <f>12/D42</f>
        <v>0.5</v>
      </c>
      <c r="F42" s="18">
        <f>Цены!C47</f>
        <v>49.97</v>
      </c>
      <c r="G42" s="536">
        <f t="shared" si="3"/>
        <v>0.38</v>
      </c>
    </row>
    <row r="43" spans="1:7">
      <c r="A43" s="841"/>
      <c r="B43" s="18" t="s">
        <v>368</v>
      </c>
      <c r="C43" s="18" t="s">
        <v>60</v>
      </c>
      <c r="D43" s="5" t="s">
        <v>366</v>
      </c>
      <c r="E43" s="5">
        <v>1</v>
      </c>
      <c r="F43" s="18">
        <f>Цены!C54</f>
        <v>295</v>
      </c>
      <c r="G43" s="536">
        <f t="shared" si="3"/>
        <v>4.5</v>
      </c>
    </row>
    <row r="44" spans="1:7">
      <c r="A44" s="841"/>
      <c r="B44" s="18" t="s">
        <v>369</v>
      </c>
      <c r="C44" s="18" t="s">
        <v>363</v>
      </c>
      <c r="D44" s="5">
        <v>30</v>
      </c>
      <c r="E44" s="5">
        <v>0</v>
      </c>
      <c r="F44" s="18"/>
      <c r="G44" s="536">
        <f t="shared" si="3"/>
        <v>0</v>
      </c>
    </row>
    <row r="45" spans="1:7" ht="25.5">
      <c r="A45" s="841"/>
      <c r="B45" s="18" t="s">
        <v>199</v>
      </c>
      <c r="C45" s="18" t="s">
        <v>60</v>
      </c>
      <c r="D45" s="5">
        <v>12</v>
      </c>
      <c r="E45" s="5">
        <f>12/D45</f>
        <v>1</v>
      </c>
      <c r="F45" s="18">
        <f>Цены!C55</f>
        <v>68.64</v>
      </c>
      <c r="G45" s="536">
        <f t="shared" si="3"/>
        <v>1.05</v>
      </c>
    </row>
    <row r="46" spans="1:7">
      <c r="A46" s="841"/>
      <c r="B46" s="29" t="s">
        <v>370</v>
      </c>
      <c r="C46" s="29" t="s">
        <v>363</v>
      </c>
      <c r="D46" s="538" t="s">
        <v>364</v>
      </c>
      <c r="E46" s="538">
        <v>1</v>
      </c>
      <c r="F46" s="29">
        <f>Цены!C56</f>
        <v>121.89</v>
      </c>
      <c r="G46" s="537">
        <f t="shared" si="3"/>
        <v>1.86</v>
      </c>
    </row>
    <row r="47" spans="1:7" ht="12.75" customHeight="1">
      <c r="A47" s="841" t="s">
        <v>139</v>
      </c>
      <c r="B47" s="534" t="s">
        <v>175</v>
      </c>
      <c r="C47" s="534" t="s">
        <v>60</v>
      </c>
      <c r="D47" s="539">
        <v>12</v>
      </c>
      <c r="E47" s="539">
        <f>12/D47</f>
        <v>1</v>
      </c>
      <c r="F47" s="534">
        <f>Цены!C31</f>
        <v>721</v>
      </c>
      <c r="G47" s="540">
        <f t="shared" ref="G47:G52" si="4">ROUND($G$11*E47*F47,2)</f>
        <v>11.21</v>
      </c>
    </row>
    <row r="48" spans="1:7">
      <c r="A48" s="841"/>
      <c r="B48" s="18" t="s">
        <v>224</v>
      </c>
      <c r="C48" s="18" t="s">
        <v>363</v>
      </c>
      <c r="D48" s="5">
        <v>12</v>
      </c>
      <c r="E48" s="5">
        <v>0</v>
      </c>
      <c r="F48" s="18">
        <f>Цены!C33</f>
        <v>1039.8900000000001</v>
      </c>
      <c r="G48" s="541">
        <f t="shared" si="4"/>
        <v>0</v>
      </c>
    </row>
    <row r="49" spans="1:7">
      <c r="A49" s="841"/>
      <c r="B49" s="18" t="s">
        <v>178</v>
      </c>
      <c r="C49" s="18" t="s">
        <v>363</v>
      </c>
      <c r="D49" s="5">
        <v>12</v>
      </c>
      <c r="E49" s="5">
        <f>12/D49</f>
        <v>1</v>
      </c>
      <c r="F49" s="18">
        <f>Цены!C34</f>
        <v>280</v>
      </c>
      <c r="G49" s="541">
        <f t="shared" si="4"/>
        <v>4.3499999999999996</v>
      </c>
    </row>
    <row r="50" spans="1:7">
      <c r="A50" s="841"/>
      <c r="B50" s="18" t="s">
        <v>179</v>
      </c>
      <c r="C50" s="18" t="s">
        <v>363</v>
      </c>
      <c r="D50" s="5">
        <v>2</v>
      </c>
      <c r="E50" s="5">
        <f>12/D50</f>
        <v>6</v>
      </c>
      <c r="F50" s="18">
        <f>Цены!C35</f>
        <v>15.57</v>
      </c>
      <c r="G50" s="541">
        <f t="shared" si="4"/>
        <v>1.45</v>
      </c>
    </row>
    <row r="51" spans="1:7">
      <c r="A51" s="841"/>
      <c r="B51" s="18" t="s">
        <v>181</v>
      </c>
      <c r="C51" s="18" t="s">
        <v>363</v>
      </c>
      <c r="D51" s="5">
        <v>3</v>
      </c>
      <c r="E51" s="5">
        <f>12/D51</f>
        <v>4</v>
      </c>
      <c r="F51" s="18">
        <f>Цены!C37</f>
        <v>280</v>
      </c>
      <c r="G51" s="541">
        <f t="shared" si="4"/>
        <v>17.420000000000002</v>
      </c>
    </row>
    <row r="52" spans="1:7" ht="25.5">
      <c r="A52" s="841"/>
      <c r="B52" s="29" t="s">
        <v>201</v>
      </c>
      <c r="C52" s="29" t="s">
        <v>60</v>
      </c>
      <c r="D52" s="538">
        <v>30</v>
      </c>
      <c r="E52" s="538">
        <f>12/D52</f>
        <v>0.4</v>
      </c>
      <c r="F52" s="29">
        <f>Цены!C57</f>
        <v>2213</v>
      </c>
      <c r="G52" s="541">
        <f t="shared" si="4"/>
        <v>13.77</v>
      </c>
    </row>
    <row r="53" spans="1:7">
      <c r="A53" s="542" t="s">
        <v>371</v>
      </c>
      <c r="B53" s="543"/>
      <c r="C53" s="543"/>
      <c r="D53" s="543"/>
      <c r="E53" s="543"/>
      <c r="F53" s="543"/>
      <c r="G53" s="543">
        <f>SUM(G17:G52)</f>
        <v>375.33000000000004</v>
      </c>
    </row>
  </sheetData>
  <sheetProtection selectLockedCells="1" selectUnlockedCells="1"/>
  <mergeCells count="24">
    <mergeCell ref="A35:A46"/>
    <mergeCell ref="A47:A52"/>
    <mergeCell ref="C10:D10"/>
    <mergeCell ref="C11:E11"/>
    <mergeCell ref="A15:G15"/>
    <mergeCell ref="A17:A23"/>
    <mergeCell ref="A24:A28"/>
    <mergeCell ref="A29:A34"/>
    <mergeCell ref="A6:A7"/>
    <mergeCell ref="C6:E6"/>
    <mergeCell ref="M6:N6"/>
    <mergeCell ref="C7:E7"/>
    <mergeCell ref="K7:L7"/>
    <mergeCell ref="M7:N7"/>
    <mergeCell ref="A3:H3"/>
    <mergeCell ref="J3:J4"/>
    <mergeCell ref="K3:L4"/>
    <mergeCell ref="M3:N4"/>
    <mergeCell ref="A4:A5"/>
    <mergeCell ref="B4:B5"/>
    <mergeCell ref="C4:E4"/>
    <mergeCell ref="F4:F5"/>
    <mergeCell ref="G4:G5"/>
    <mergeCell ref="M5:N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14" zoomScale="70" zoomScaleNormal="70" workbookViewId="0">
      <selection activeCell="M12" sqref="M12"/>
    </sheetView>
  </sheetViews>
  <sheetFormatPr defaultColWidth="8.7109375" defaultRowHeight="12.75"/>
  <cols>
    <col min="1" max="1" width="31.42578125" style="10" customWidth="1"/>
    <col min="2" max="2" width="20" customWidth="1"/>
    <col min="3" max="3" width="13.140625" customWidth="1"/>
    <col min="4" max="4" width="20.28515625" customWidth="1"/>
    <col min="5" max="5" width="18.7109375" customWidth="1"/>
    <col min="6" max="6" width="13" customWidth="1"/>
    <col min="7" max="7" width="18" customWidth="1"/>
    <col min="8" max="8" width="20.7109375" style="6" customWidth="1"/>
    <col min="9" max="10" width="21.140625" style="6" customWidth="1"/>
  </cols>
  <sheetData>
    <row r="1" spans="1:10" ht="25.5">
      <c r="A1" s="8" t="s">
        <v>372</v>
      </c>
      <c r="B1" s="8" t="s">
        <v>334</v>
      </c>
      <c r="C1" s="8" t="s">
        <v>373</v>
      </c>
      <c r="D1" s="8" t="s">
        <v>374</v>
      </c>
      <c r="E1" s="8" t="s">
        <v>375</v>
      </c>
      <c r="F1" s="8" t="s">
        <v>376</v>
      </c>
      <c r="G1" s="8" t="s">
        <v>377</v>
      </c>
      <c r="H1" s="528" t="s">
        <v>378</v>
      </c>
      <c r="I1" s="528" t="s">
        <v>379</v>
      </c>
      <c r="J1" s="528" t="s">
        <v>340</v>
      </c>
    </row>
    <row r="2" spans="1:10" ht="18" customHeight="1">
      <c r="A2" s="845" t="s">
        <v>380</v>
      </c>
      <c r="B2" s="845"/>
      <c r="C2" s="845"/>
      <c r="D2" s="845"/>
      <c r="E2" s="845"/>
      <c r="F2" s="845"/>
      <c r="G2" s="845"/>
      <c r="H2" s="845"/>
      <c r="I2" s="845"/>
    </row>
    <row r="3" spans="1:10">
      <c r="A3" s="8" t="s">
        <v>381</v>
      </c>
      <c r="B3" s="1" t="s">
        <v>382</v>
      </c>
      <c r="C3" s="1">
        <f>'Исх. дан.'!D20</f>
        <v>0</v>
      </c>
      <c r="D3" s="1">
        <v>1</v>
      </c>
      <c r="E3" s="18" t="s">
        <v>383</v>
      </c>
      <c r="F3" s="1">
        <v>3</v>
      </c>
      <c r="G3" s="1">
        <v>0.33</v>
      </c>
      <c r="H3" s="544">
        <f>G3*C3*D3</f>
        <v>0</v>
      </c>
      <c r="I3" s="544">
        <f>H3*'ЗП персонала'!H8</f>
        <v>0</v>
      </c>
      <c r="J3" s="544" t="s">
        <v>384</v>
      </c>
    </row>
    <row r="4" spans="1:10" ht="25.5">
      <c r="A4" s="8" t="s">
        <v>385</v>
      </c>
      <c r="B4" s="1" t="s">
        <v>386</v>
      </c>
      <c r="C4" s="1">
        <f>'Исх. дан.'!D23</f>
        <v>1</v>
      </c>
      <c r="D4" s="1">
        <v>1</v>
      </c>
      <c r="E4" s="18" t="s">
        <v>383</v>
      </c>
      <c r="F4" s="1">
        <v>4</v>
      </c>
      <c r="G4" s="1">
        <v>4.0999999999999996</v>
      </c>
      <c r="H4" s="544">
        <f>G4*D4*C4</f>
        <v>4.0999999999999996</v>
      </c>
      <c r="I4" s="544">
        <f>H4*'ЗП персонала'!H9</f>
        <v>738.36899999999991</v>
      </c>
      <c r="J4" s="544" t="s">
        <v>387</v>
      </c>
    </row>
    <row r="5" spans="1:10" ht="38.25">
      <c r="A5" s="545" t="s">
        <v>388</v>
      </c>
      <c r="B5" s="1" t="s">
        <v>389</v>
      </c>
      <c r="C5" s="1">
        <f>'Исх. дан.'!D16/1000*2</f>
        <v>5.0640000000000001</v>
      </c>
      <c r="D5" s="1">
        <v>1</v>
      </c>
      <c r="E5" s="18" t="s">
        <v>383</v>
      </c>
      <c r="F5" s="1">
        <v>4</v>
      </c>
      <c r="G5" s="1">
        <v>0.87</v>
      </c>
      <c r="H5" s="544">
        <f>G5*D5*C5</f>
        <v>4.4056800000000003</v>
      </c>
      <c r="I5" s="544">
        <f>H5*'ЗП персонала'!H9</f>
        <v>793.41891120000003</v>
      </c>
      <c r="J5" s="544" t="s">
        <v>390</v>
      </c>
    </row>
    <row r="6" spans="1:10" ht="38.25">
      <c r="A6" s="8" t="s">
        <v>391</v>
      </c>
      <c r="B6" s="1" t="s">
        <v>392</v>
      </c>
      <c r="C6" s="33">
        <f>'Исх. дан.'!D22*2</f>
        <v>2</v>
      </c>
      <c r="D6" s="1">
        <v>1</v>
      </c>
      <c r="E6" s="18" t="s">
        <v>383</v>
      </c>
      <c r="F6" s="1">
        <v>3</v>
      </c>
      <c r="G6" s="1">
        <v>0.56000000000000016</v>
      </c>
      <c r="H6" s="544">
        <f>G6*D6*C6</f>
        <v>1.1200000000000003</v>
      </c>
      <c r="I6" s="544">
        <f>H6*'ЗП персонала'!H8</f>
        <v>177.49760000000003</v>
      </c>
      <c r="J6" s="544" t="s">
        <v>393</v>
      </c>
    </row>
    <row r="7" spans="1:10" ht="38.25">
      <c r="A7" s="545" t="s">
        <v>394</v>
      </c>
      <c r="B7" s="1" t="s">
        <v>395</v>
      </c>
      <c r="C7" s="1">
        <f>'Исх. дан.'!D21/100</f>
        <v>0.24</v>
      </c>
      <c r="D7" s="1">
        <v>1</v>
      </c>
      <c r="E7" s="18" t="s">
        <v>383</v>
      </c>
      <c r="F7" s="1">
        <v>4</v>
      </c>
      <c r="G7" s="1">
        <v>3.3</v>
      </c>
      <c r="H7" s="544">
        <f>G7*D7*C7</f>
        <v>0.79199999999999993</v>
      </c>
      <c r="I7" s="544">
        <f>H7*'ЗП персонала'!H9</f>
        <v>142.63127999999998</v>
      </c>
      <c r="J7" s="544" t="s">
        <v>396</v>
      </c>
    </row>
    <row r="8" spans="1:10" ht="18">
      <c r="A8" s="546" t="s">
        <v>222</v>
      </c>
      <c r="B8" s="547"/>
      <c r="C8" s="547"/>
      <c r="D8" s="547"/>
      <c r="E8" s="546"/>
      <c r="F8" s="547"/>
      <c r="G8" s="547"/>
      <c r="H8" s="548">
        <f>SUM(H3:H4)</f>
        <v>4.0999999999999996</v>
      </c>
      <c r="I8" s="548">
        <f>SUM(I3:I7)</f>
        <v>1851.9167912000003</v>
      </c>
      <c r="J8" s="548"/>
    </row>
    <row r="9" spans="1:10" ht="18" customHeight="1">
      <c r="A9" s="834" t="s">
        <v>397</v>
      </c>
      <c r="B9" s="834"/>
      <c r="C9" s="834"/>
      <c r="D9" s="834"/>
      <c r="E9" s="834"/>
      <c r="F9" s="834"/>
      <c r="G9" s="834"/>
      <c r="H9" s="834"/>
      <c r="I9" s="834"/>
    </row>
    <row r="10" spans="1:10" ht="27">
      <c r="A10" s="8" t="s">
        <v>398</v>
      </c>
      <c r="B10" s="8" t="s">
        <v>399</v>
      </c>
      <c r="C10" s="11">
        <f>ROUND('Исх. дан.'!D9/1000,2)</f>
        <v>0.67</v>
      </c>
      <c r="D10" s="1">
        <v>1</v>
      </c>
      <c r="E10" s="8" t="s">
        <v>383</v>
      </c>
      <c r="F10" s="1">
        <v>4</v>
      </c>
      <c r="G10" s="549">
        <v>10</v>
      </c>
      <c r="H10" s="544">
        <f>G10*D10*C10</f>
        <v>6.7</v>
      </c>
      <c r="I10" s="544">
        <f>H10*'ЗП персонала'!$H$9</f>
        <v>1206.6030000000001</v>
      </c>
      <c r="J10" s="544" t="s">
        <v>400</v>
      </c>
    </row>
    <row r="11" spans="1:10" ht="39.75">
      <c r="A11" s="8" t="s">
        <v>401</v>
      </c>
      <c r="B11" s="8" t="s">
        <v>402</v>
      </c>
      <c r="C11" s="11">
        <f>ROUND('Исх. дан.'!D14/1000,2)</f>
        <v>0</v>
      </c>
      <c r="D11" s="1">
        <v>7</v>
      </c>
      <c r="E11" s="8" t="s">
        <v>383</v>
      </c>
      <c r="F11" s="1">
        <v>4</v>
      </c>
      <c r="G11" s="549">
        <v>4</v>
      </c>
      <c r="H11" s="544">
        <f>G11*D11*C11</f>
        <v>0</v>
      </c>
      <c r="I11" s="544">
        <f>H11*'ЗП персонала'!$H$9</f>
        <v>0</v>
      </c>
      <c r="J11" s="544" t="s">
        <v>403</v>
      </c>
    </row>
    <row r="12" spans="1:10" ht="39.75">
      <c r="A12" s="8" t="s">
        <v>404</v>
      </c>
      <c r="B12" s="8" t="s">
        <v>402</v>
      </c>
      <c r="C12" s="1">
        <f>'Исх. дан.'!D14/1000</f>
        <v>0</v>
      </c>
      <c r="D12" s="1">
        <v>12</v>
      </c>
      <c r="E12" s="8" t="s">
        <v>383</v>
      </c>
      <c r="F12" s="1">
        <v>4</v>
      </c>
      <c r="G12" s="1">
        <v>4</v>
      </c>
      <c r="H12" s="544">
        <f>G12*D12*C12</f>
        <v>0</v>
      </c>
      <c r="I12" s="544">
        <f>H12*'ЗП персонала'!$H$9</f>
        <v>0</v>
      </c>
      <c r="J12" s="544" t="s">
        <v>403</v>
      </c>
    </row>
    <row r="13" spans="1:10" ht="39.75" hidden="1">
      <c r="A13" s="8" t="s">
        <v>405</v>
      </c>
      <c r="B13" s="10" t="s">
        <v>402</v>
      </c>
      <c r="C13" s="1">
        <f>ROUND('Исх. дан.'!D12/1000,2)</f>
        <v>0.48</v>
      </c>
      <c r="D13">
        <v>12</v>
      </c>
      <c r="E13" s="8" t="s">
        <v>383</v>
      </c>
      <c r="F13" s="1">
        <v>4</v>
      </c>
      <c r="G13" s="1">
        <v>4</v>
      </c>
      <c r="H13" s="544">
        <v>0</v>
      </c>
      <c r="I13" s="544">
        <f>H13*'ЗП персонала'!$H$9</f>
        <v>0</v>
      </c>
      <c r="J13" s="544"/>
    </row>
    <row r="14" spans="1:10" ht="51">
      <c r="A14" s="8" t="s">
        <v>406</v>
      </c>
      <c r="B14" s="8" t="s">
        <v>407</v>
      </c>
      <c r="C14" s="1">
        <f>'Исх. дан.'!D34*'Исх. дан.'!D35/100</f>
        <v>0.02</v>
      </c>
      <c r="D14" s="1">
        <v>12</v>
      </c>
      <c r="E14" s="8" t="s">
        <v>408</v>
      </c>
      <c r="F14" s="1">
        <v>3</v>
      </c>
      <c r="G14" s="1">
        <v>9</v>
      </c>
      <c r="H14" s="544">
        <f>G14*C14*D14</f>
        <v>2.16</v>
      </c>
      <c r="I14" s="544">
        <f>H14*'ЗП персонала'!H10</f>
        <v>342.3168</v>
      </c>
      <c r="J14" s="544" t="s">
        <v>409</v>
      </c>
    </row>
    <row r="15" spans="1:10" ht="52.5">
      <c r="A15" s="8" t="s">
        <v>410</v>
      </c>
      <c r="B15" s="8" t="s">
        <v>411</v>
      </c>
      <c r="C15" s="1">
        <f>'Исх. дан.'!D14/1000</f>
        <v>0</v>
      </c>
      <c r="D15" s="1">
        <v>4</v>
      </c>
      <c r="E15" s="8" t="s">
        <v>408</v>
      </c>
      <c r="F15" s="1">
        <v>3</v>
      </c>
      <c r="G15" s="1">
        <v>8</v>
      </c>
      <c r="H15" s="544">
        <f>G15*D15*C15</f>
        <v>0</v>
      </c>
      <c r="I15" s="544">
        <f>H15*'ЗП персонала'!H10</f>
        <v>0</v>
      </c>
      <c r="J15" s="544" t="s">
        <v>412</v>
      </c>
    </row>
    <row r="16" spans="1:10" ht="18">
      <c r="A16" s="546" t="s">
        <v>222</v>
      </c>
      <c r="B16" s="546"/>
      <c r="C16" s="547"/>
      <c r="D16" s="547"/>
      <c r="E16" s="546"/>
      <c r="F16" s="547"/>
      <c r="G16" s="547"/>
      <c r="H16" s="550">
        <f>SUM(H12:H15)</f>
        <v>2.16</v>
      </c>
      <c r="I16" s="548">
        <f>SUM(I10:I15)</f>
        <v>1548.9198000000001</v>
      </c>
      <c r="J16" s="548"/>
    </row>
    <row r="17" spans="1:10" ht="18">
      <c r="A17" s="846" t="s">
        <v>413</v>
      </c>
      <c r="B17" s="846"/>
      <c r="C17" s="846"/>
      <c r="D17" s="846"/>
      <c r="E17" s="846"/>
      <c r="F17" s="846"/>
      <c r="G17" s="846"/>
      <c r="H17" s="846"/>
      <c r="I17" s="846"/>
    </row>
    <row r="18" spans="1:10" ht="38.25">
      <c r="A18" s="8" t="s">
        <v>414</v>
      </c>
      <c r="B18" s="1" t="s">
        <v>415</v>
      </c>
      <c r="C18" s="1">
        <f>'Исх. дан.'!D12+'Исх. дан.'!D14</f>
        <v>480</v>
      </c>
      <c r="D18" s="1">
        <v>1</v>
      </c>
      <c r="E18" s="18" t="s">
        <v>139</v>
      </c>
      <c r="F18" s="1">
        <v>1</v>
      </c>
      <c r="G18" s="1">
        <v>1.2E-2</v>
      </c>
      <c r="H18" s="544">
        <f>G18*C18*D18</f>
        <v>5.76</v>
      </c>
      <c r="I18" s="544">
        <f>H18*'ЗП персонала'!H7</f>
        <v>730.25279999999998</v>
      </c>
      <c r="J18" s="544" t="s">
        <v>416</v>
      </c>
    </row>
    <row r="19" spans="1:10" ht="14.25">
      <c r="A19" s="8" t="s">
        <v>417</v>
      </c>
      <c r="B19" s="1" t="s">
        <v>415</v>
      </c>
      <c r="C19" s="1">
        <f>'Исх. дан.'!D11</f>
        <v>769</v>
      </c>
      <c r="D19" s="1">
        <v>1</v>
      </c>
      <c r="E19" s="18" t="s">
        <v>139</v>
      </c>
      <c r="F19" s="1">
        <v>1</v>
      </c>
      <c r="G19" s="1">
        <v>1.2E-2</v>
      </c>
      <c r="H19" s="544">
        <f>G19*C19*D19</f>
        <v>9.2279999999999998</v>
      </c>
      <c r="I19" s="544">
        <f>H19*'ЗП персонала'!H7</f>
        <v>1169.9258399999999</v>
      </c>
      <c r="J19" s="544" t="s">
        <v>416</v>
      </c>
    </row>
    <row r="20" spans="1:10">
      <c r="A20" s="8" t="s">
        <v>418</v>
      </c>
      <c r="B20" s="1" t="s">
        <v>419</v>
      </c>
      <c r="C20" s="1">
        <f>'Исх. дан.'!D11</f>
        <v>769</v>
      </c>
      <c r="D20" s="1">
        <v>1</v>
      </c>
      <c r="E20" s="8" t="s">
        <v>139</v>
      </c>
      <c r="F20" s="1">
        <v>1</v>
      </c>
      <c r="G20" s="1">
        <v>0.08</v>
      </c>
      <c r="H20" s="544">
        <f>G20*C20*D20</f>
        <v>61.52</v>
      </c>
      <c r="I20" s="544">
        <f>H20*'ЗП персонала'!H7</f>
        <v>7799.5056000000004</v>
      </c>
      <c r="J20" s="544" t="s">
        <v>420</v>
      </c>
    </row>
    <row r="21" spans="1:10" ht="25.5">
      <c r="A21" s="8" t="s">
        <v>421</v>
      </c>
      <c r="B21" s="1" t="s">
        <v>422</v>
      </c>
      <c r="C21" s="1">
        <f>'Исх. дан.'!D24</f>
        <v>1</v>
      </c>
      <c r="D21" s="1">
        <v>1</v>
      </c>
      <c r="E21" s="18" t="s">
        <v>383</v>
      </c>
      <c r="F21" s="1">
        <v>3</v>
      </c>
      <c r="G21" s="1">
        <v>0.26</v>
      </c>
      <c r="H21" s="544">
        <f>G21*C21*D21</f>
        <v>0.26</v>
      </c>
      <c r="I21" s="544">
        <f>H21*'ЗП персонала'!H8</f>
        <v>41.204799999999999</v>
      </c>
      <c r="J21" s="544" t="s">
        <v>423</v>
      </c>
    </row>
    <row r="22" spans="1:10" ht="25.5">
      <c r="A22" s="8" t="s">
        <v>424</v>
      </c>
      <c r="B22" s="8" t="s">
        <v>425</v>
      </c>
      <c r="C22" s="551">
        <f>'Исх. дан.'!D22</f>
        <v>1</v>
      </c>
      <c r="D22" s="1">
        <v>2</v>
      </c>
      <c r="E22" s="18" t="s">
        <v>383</v>
      </c>
      <c r="F22" s="1">
        <v>3</v>
      </c>
      <c r="G22" s="1">
        <v>0.58000000000000007</v>
      </c>
      <c r="H22" s="544">
        <f>G22*D22*C22</f>
        <v>1.1600000000000001</v>
      </c>
      <c r="I22" s="544">
        <f>H22*'ЗП персонала'!H8</f>
        <v>183.83680000000001</v>
      </c>
      <c r="J22" s="544" t="s">
        <v>426</v>
      </c>
    </row>
    <row r="23" spans="1:10">
      <c r="A23" s="8" t="s">
        <v>427</v>
      </c>
      <c r="B23" s="1" t="s">
        <v>428</v>
      </c>
      <c r="C23" s="1">
        <f>'Исх. дан.'!D25</f>
        <v>2</v>
      </c>
      <c r="D23" s="1">
        <v>1</v>
      </c>
      <c r="E23" s="18" t="s">
        <v>408</v>
      </c>
      <c r="F23" s="1">
        <v>3</v>
      </c>
      <c r="G23" s="1">
        <v>3.24</v>
      </c>
      <c r="H23" s="544">
        <f>G23*D23*C23</f>
        <v>6.48</v>
      </c>
      <c r="I23" s="544">
        <f>H23*'ЗП персонала'!H10</f>
        <v>1026.9503999999999</v>
      </c>
      <c r="J23" s="544" t="s">
        <v>429</v>
      </c>
    </row>
    <row r="24" spans="1:10" ht="25.5">
      <c r="A24" s="8" t="s">
        <v>430</v>
      </c>
      <c r="B24" s="1" t="s">
        <v>428</v>
      </c>
      <c r="C24" s="1">
        <f>'Исх. дан.'!D26</f>
        <v>1</v>
      </c>
      <c r="D24" s="1">
        <v>1</v>
      </c>
      <c r="E24" s="18" t="s">
        <v>408</v>
      </c>
      <c r="F24" s="1">
        <v>3</v>
      </c>
      <c r="G24" s="1">
        <v>3.24</v>
      </c>
      <c r="H24" s="544">
        <f>G24*D24*C24</f>
        <v>3.24</v>
      </c>
      <c r="I24" s="544">
        <f>H24*'ЗП персонала'!H10</f>
        <v>513.47519999999997</v>
      </c>
      <c r="J24" s="544" t="s">
        <v>429</v>
      </c>
    </row>
    <row r="25" spans="1:10" ht="18">
      <c r="A25" s="552" t="s">
        <v>431</v>
      </c>
      <c r="B25" s="553"/>
      <c r="C25" s="553"/>
      <c r="D25" s="553"/>
      <c r="E25" s="553"/>
      <c r="F25" s="553"/>
      <c r="G25" s="553"/>
      <c r="H25" s="554">
        <f>SUM(H18:H24)</f>
        <v>87.64800000000001</v>
      </c>
      <c r="I25" s="554">
        <f>SUM(I18:I24)</f>
        <v>11465.15144</v>
      </c>
      <c r="J25" s="554"/>
    </row>
    <row r="26" spans="1:10" ht="20.25">
      <c r="A26" s="555" t="s">
        <v>222</v>
      </c>
      <c r="B26" s="556"/>
      <c r="C26" s="556"/>
      <c r="D26" s="556"/>
      <c r="E26" s="556"/>
      <c r="F26" s="556"/>
      <c r="G26" s="556"/>
      <c r="H26" s="557">
        <f>H8+H16+H25</f>
        <v>93.908000000000015</v>
      </c>
      <c r="I26" s="557">
        <f>I8+I16+I25</f>
        <v>14865.9880312</v>
      </c>
      <c r="J26" s="557"/>
    </row>
    <row r="28" spans="1:10" ht="25.5">
      <c r="A28" s="8" t="s">
        <v>372</v>
      </c>
      <c r="B28" s="8" t="s">
        <v>334</v>
      </c>
      <c r="C28" s="8" t="s">
        <v>373</v>
      </c>
      <c r="D28" s="8" t="s">
        <v>374</v>
      </c>
      <c r="E28" s="8" t="s">
        <v>432</v>
      </c>
      <c r="F28" s="8" t="s">
        <v>379</v>
      </c>
      <c r="G28" s="68"/>
      <c r="H28" s="558"/>
      <c r="I28" s="558"/>
      <c r="J28" s="558"/>
    </row>
    <row r="29" spans="1:10" ht="51" customHeight="1">
      <c r="A29" s="8" t="s">
        <v>433</v>
      </c>
      <c r="B29" s="1" t="s">
        <v>434</v>
      </c>
      <c r="C29" s="1">
        <f>'Исх. дан.'!D27</f>
        <v>2</v>
      </c>
      <c r="D29" s="1">
        <v>0.33</v>
      </c>
      <c r="E29" s="18">
        <f>528*('Постоянные конст'!B1+1)</f>
        <v>528</v>
      </c>
      <c r="F29" s="544">
        <f>C29*D29*E29</f>
        <v>348.48</v>
      </c>
      <c r="G29" s="847" t="s">
        <v>435</v>
      </c>
      <c r="H29" s="558"/>
      <c r="I29" s="558"/>
      <c r="J29" s="558"/>
    </row>
    <row r="30" spans="1:10" ht="38.25">
      <c r="A30" s="559" t="s">
        <v>436</v>
      </c>
      <c r="B30" s="560" t="s">
        <v>437</v>
      </c>
      <c r="C30" s="560">
        <f>'Исх. дан.'!D28</f>
        <v>20</v>
      </c>
      <c r="D30" s="560">
        <v>0.33</v>
      </c>
      <c r="E30" s="559">
        <f>56*('Постоянные конст'!B1+1)</f>
        <v>56</v>
      </c>
      <c r="F30" s="561">
        <f>C30*D30*E30</f>
        <v>369.6</v>
      </c>
      <c r="G30" s="847"/>
      <c r="H30" s="558"/>
      <c r="I30" s="558"/>
      <c r="J30" s="558"/>
    </row>
    <row r="31" spans="1:10" ht="15">
      <c r="A31" s="562" t="s">
        <v>222</v>
      </c>
      <c r="B31" s="563"/>
      <c r="C31" s="563"/>
      <c r="D31" s="563"/>
      <c r="E31" s="564"/>
      <c r="F31" s="565">
        <f>SUM(F29:F30)</f>
        <v>718.08</v>
      </c>
      <c r="G31" s="68"/>
      <c r="H31" s="558"/>
      <c r="I31" s="558"/>
      <c r="J31" s="558"/>
    </row>
    <row r="32" spans="1:10" ht="15">
      <c r="A32" s="305"/>
      <c r="B32" s="141"/>
      <c r="C32" s="141"/>
      <c r="D32" s="141"/>
      <c r="E32" s="305"/>
      <c r="F32" s="141"/>
      <c r="G32" s="68"/>
      <c r="H32" s="558"/>
      <c r="I32" s="558"/>
      <c r="J32" s="558"/>
    </row>
    <row r="33" spans="1:11" ht="18">
      <c r="A33" s="846" t="s">
        <v>438</v>
      </c>
      <c r="B33" s="846"/>
      <c r="C33" s="846"/>
      <c r="D33" s="846"/>
      <c r="E33" s="846"/>
      <c r="F33" s="846"/>
      <c r="G33" s="846"/>
      <c r="H33" s="846"/>
      <c r="I33" s="846"/>
      <c r="J33"/>
    </row>
    <row r="34" spans="1:11" ht="51">
      <c r="A34" s="8" t="s">
        <v>439</v>
      </c>
      <c r="B34" s="1" t="s">
        <v>440</v>
      </c>
      <c r="C34" s="1"/>
      <c r="D34" s="1">
        <v>1</v>
      </c>
      <c r="E34" s="18" t="s">
        <v>408</v>
      </c>
      <c r="F34" s="1">
        <v>3</v>
      </c>
      <c r="G34" s="1">
        <v>0.09</v>
      </c>
      <c r="H34" s="544">
        <f>G34*C34*D34</f>
        <v>0</v>
      </c>
      <c r="I34" s="544"/>
      <c r="J34" s="544" t="s">
        <v>441</v>
      </c>
    </row>
    <row r="35" spans="1:11">
      <c r="A35" s="8" t="s">
        <v>125</v>
      </c>
      <c r="B35" s="1" t="s">
        <v>440</v>
      </c>
      <c r="C35" s="1"/>
      <c r="D35" s="1">
        <v>1</v>
      </c>
      <c r="E35" s="18"/>
      <c r="F35" s="1"/>
      <c r="G35" s="1"/>
      <c r="H35" s="544"/>
      <c r="I35" s="544">
        <f>C35*'Постоянные конст'!B16</f>
        <v>0</v>
      </c>
      <c r="J35" s="544"/>
    </row>
    <row r="36" spans="1:11" ht="18">
      <c r="A36" s="552" t="s">
        <v>442</v>
      </c>
      <c r="B36" s="553"/>
      <c r="C36" s="553"/>
      <c r="D36" s="553"/>
      <c r="E36" s="553"/>
      <c r="F36" s="553"/>
      <c r="G36" s="553"/>
      <c r="H36" s="554"/>
      <c r="I36" s="554">
        <f>SUM(I34:I35)</f>
        <v>0</v>
      </c>
      <c r="J36" s="554"/>
    </row>
    <row r="37" spans="1:11" ht="18" customHeight="1">
      <c r="A37" s="848" t="s">
        <v>443</v>
      </c>
      <c r="B37" s="848"/>
      <c r="C37" s="848"/>
      <c r="D37" s="848"/>
      <c r="E37" s="848"/>
      <c r="F37" s="848"/>
      <c r="G37" s="848"/>
      <c r="H37" s="848"/>
      <c r="I37" s="848"/>
      <c r="K37" s="10"/>
    </row>
    <row r="38" spans="1:11" s="10" customFormat="1" ht="38.25">
      <c r="A38" s="10" t="s">
        <v>126</v>
      </c>
      <c r="B38" s="10" t="s">
        <v>444</v>
      </c>
      <c r="C38" s="10" t="s">
        <v>445</v>
      </c>
      <c r="D38" s="10" t="s">
        <v>337</v>
      </c>
      <c r="H38" s="17"/>
      <c r="I38" s="17"/>
      <c r="J38" s="17"/>
    </row>
    <row r="39" spans="1:11">
      <c r="A39" s="10" t="s">
        <v>139</v>
      </c>
      <c r="B39">
        <v>1</v>
      </c>
      <c r="C39" s="6">
        <f>H18+H19</f>
        <v>14.988</v>
      </c>
      <c r="D39">
        <f>C39/'Постоянные конст'!$B$4*1.12</f>
        <v>8.5210964467005088E-3</v>
      </c>
    </row>
    <row r="40" spans="1:11">
      <c r="A40" s="10" t="s">
        <v>383</v>
      </c>
      <c r="B40">
        <v>3</v>
      </c>
      <c r="C40" s="6">
        <f>H3+H21+H22</f>
        <v>1.4200000000000002</v>
      </c>
      <c r="D40">
        <f>C40/'Постоянные конст'!$B$4*1.12</f>
        <v>8.0730964467005094E-4</v>
      </c>
    </row>
    <row r="41" spans="1:11">
      <c r="A41" s="10" t="s">
        <v>383</v>
      </c>
      <c r="B41">
        <v>4</v>
      </c>
      <c r="C41" s="6">
        <f>H4+H12+H13+H11+H10</f>
        <v>10.8</v>
      </c>
      <c r="D41">
        <f>C41/'Постоянные конст'!$B$4*1.12</f>
        <v>6.1401015228426409E-3</v>
      </c>
    </row>
    <row r="42" spans="1:11">
      <c r="A42" s="10" t="s">
        <v>408</v>
      </c>
      <c r="B42">
        <v>3</v>
      </c>
      <c r="C42" s="6">
        <f>H14+H15+H24+H23</f>
        <v>11.88</v>
      </c>
      <c r="D42">
        <f>C42/'Постоянные конст'!$B$4*1.12</f>
        <v>6.754111675126905E-3</v>
      </c>
    </row>
    <row r="43" spans="1:11" ht="18" customHeight="1">
      <c r="A43" s="834" t="s">
        <v>174</v>
      </c>
      <c r="B43" s="834"/>
      <c r="C43" s="834"/>
      <c r="D43" s="834"/>
      <c r="E43" s="834"/>
      <c r="F43" s="834"/>
      <c r="G43" s="834"/>
      <c r="H43" s="566"/>
      <c r="I43" s="566"/>
      <c r="J43" s="566"/>
      <c r="K43" s="10"/>
    </row>
    <row r="44" spans="1:11" s="10" customFormat="1" ht="25.5">
      <c r="A44" s="8" t="s">
        <v>126</v>
      </c>
      <c r="B44" s="8" t="s">
        <v>357</v>
      </c>
      <c r="C44" s="8" t="s">
        <v>334</v>
      </c>
      <c r="D44" s="8" t="s">
        <v>358</v>
      </c>
      <c r="E44" s="8" t="s">
        <v>359</v>
      </c>
      <c r="F44" s="8" t="s">
        <v>360</v>
      </c>
      <c r="G44" s="8" t="s">
        <v>361</v>
      </c>
      <c r="H44" s="17"/>
      <c r="I44" s="17"/>
      <c r="J44" s="17"/>
    </row>
    <row r="45" spans="1:11" ht="12.75" customHeight="1">
      <c r="A45" s="838" t="s">
        <v>383</v>
      </c>
      <c r="B45" s="1" t="s">
        <v>175</v>
      </c>
      <c r="C45" s="1" t="s">
        <v>60</v>
      </c>
      <c r="D45" s="1">
        <v>12</v>
      </c>
      <c r="E45" s="1">
        <f>12/D45</f>
        <v>1</v>
      </c>
      <c r="F45" s="1">
        <f>Цены!C31</f>
        <v>721</v>
      </c>
      <c r="G45" s="544">
        <f>F45*($D$40+$D$41)</f>
        <v>5.0090834517766512</v>
      </c>
      <c r="K45" s="10"/>
    </row>
    <row r="46" spans="1:11" s="10" customFormat="1">
      <c r="A46" s="838"/>
      <c r="B46" s="8" t="s">
        <v>178</v>
      </c>
      <c r="C46" s="8" t="s">
        <v>363</v>
      </c>
      <c r="D46" s="8" t="s">
        <v>366</v>
      </c>
      <c r="E46" s="8">
        <v>1</v>
      </c>
      <c r="F46" s="8">
        <f>Цены!C34</f>
        <v>280</v>
      </c>
      <c r="G46" s="544">
        <f>F46*($D$40+$D$41)</f>
        <v>1.9452751269035538</v>
      </c>
      <c r="H46" s="17"/>
      <c r="I46" s="17"/>
      <c r="J46" s="17"/>
    </row>
    <row r="47" spans="1:11" s="10" customFormat="1">
      <c r="A47" s="838"/>
      <c r="B47" s="8" t="s">
        <v>224</v>
      </c>
      <c r="C47" s="8" t="s">
        <v>363</v>
      </c>
      <c r="D47" s="8">
        <v>12</v>
      </c>
      <c r="E47" s="8">
        <v>0</v>
      </c>
      <c r="F47" s="8">
        <f>Цены!C33</f>
        <v>1039.8900000000001</v>
      </c>
      <c r="G47" s="544">
        <f>F47*($D$40+$D$41)</f>
        <v>7.2245433989847738</v>
      </c>
      <c r="H47" s="17"/>
      <c r="I47" s="17"/>
      <c r="J47" s="17"/>
    </row>
    <row r="48" spans="1:11" s="10" customFormat="1" ht="25.5">
      <c r="A48" s="838"/>
      <c r="B48" s="8" t="s">
        <v>446</v>
      </c>
      <c r="C48" s="8" t="s">
        <v>363</v>
      </c>
      <c r="D48" s="8">
        <v>1</v>
      </c>
      <c r="E48" s="8">
        <f>12/D48</f>
        <v>12</v>
      </c>
      <c r="F48" s="8">
        <f>Цены!C35</f>
        <v>15.57</v>
      </c>
      <c r="G48" s="544">
        <f>F48*($D$40+$D$41)</f>
        <v>0.10817119187817262</v>
      </c>
      <c r="H48" s="17"/>
      <c r="I48" s="17"/>
      <c r="J48" s="17"/>
    </row>
    <row r="49" spans="1:10" s="10" customFormat="1" ht="38.25">
      <c r="A49" s="838"/>
      <c r="B49" s="8" t="s">
        <v>183</v>
      </c>
      <c r="C49" s="8" t="s">
        <v>60</v>
      </c>
      <c r="D49" s="8">
        <v>30</v>
      </c>
      <c r="E49" s="8">
        <f>12/D49</f>
        <v>0.4</v>
      </c>
      <c r="F49" s="8">
        <f>Цены!C39</f>
        <v>1366</v>
      </c>
      <c r="G49" s="544">
        <f>F49*($D$40+$D$41)</f>
        <v>9.4901636548223376</v>
      </c>
      <c r="H49" s="17"/>
      <c r="I49" s="17"/>
      <c r="J49" s="17"/>
    </row>
    <row r="50" spans="1:10" s="10" customFormat="1" ht="12.75" customHeight="1">
      <c r="A50" s="838" t="s">
        <v>408</v>
      </c>
      <c r="B50" s="8" t="s">
        <v>175</v>
      </c>
      <c r="C50" s="8" t="s">
        <v>60</v>
      </c>
      <c r="D50" s="8">
        <v>12</v>
      </c>
      <c r="E50" s="8">
        <f>12/D50</f>
        <v>1</v>
      </c>
      <c r="F50" s="8">
        <f>Цены!C31</f>
        <v>721</v>
      </c>
      <c r="G50" s="528">
        <f t="shared" ref="G50:G56" si="0">F50*$D$42</f>
        <v>4.8697145177664982</v>
      </c>
      <c r="H50" s="17"/>
      <c r="I50" s="17"/>
      <c r="J50" s="17"/>
    </row>
    <row r="51" spans="1:10" s="10" customFormat="1">
      <c r="A51" s="838"/>
      <c r="B51" s="8" t="s">
        <v>224</v>
      </c>
      <c r="C51" s="8" t="s">
        <v>363</v>
      </c>
      <c r="D51" s="8">
        <v>12</v>
      </c>
      <c r="E51" s="8">
        <v>0</v>
      </c>
      <c r="F51" s="8">
        <f>Цены!C33</f>
        <v>1039.8900000000001</v>
      </c>
      <c r="G51" s="528">
        <f t="shared" si="0"/>
        <v>7.0235331898477176</v>
      </c>
      <c r="H51" s="17"/>
      <c r="I51" s="17"/>
      <c r="J51" s="17"/>
    </row>
    <row r="52" spans="1:10" s="10" customFormat="1" ht="38.25">
      <c r="A52" s="838"/>
      <c r="B52" s="8" t="s">
        <v>185</v>
      </c>
      <c r="C52" s="8" t="s">
        <v>363</v>
      </c>
      <c r="D52" s="8">
        <v>2</v>
      </c>
      <c r="E52" s="8">
        <f>12/D52</f>
        <v>6</v>
      </c>
      <c r="F52" s="8">
        <f>Цены!C41</f>
        <v>69</v>
      </c>
      <c r="G52" s="528">
        <f t="shared" si="0"/>
        <v>0.46603370558375645</v>
      </c>
      <c r="H52" s="17"/>
      <c r="I52" s="17"/>
      <c r="J52" s="17"/>
    </row>
    <row r="53" spans="1:10" s="10" customFormat="1" ht="25.5">
      <c r="A53" s="838"/>
      <c r="B53" s="8" t="s">
        <v>179</v>
      </c>
      <c r="C53" s="8" t="s">
        <v>363</v>
      </c>
      <c r="D53" s="8" t="s">
        <v>366</v>
      </c>
      <c r="E53" s="8">
        <v>1</v>
      </c>
      <c r="F53" s="8">
        <f>Цены!C35</f>
        <v>15.57</v>
      </c>
      <c r="G53" s="528">
        <f t="shared" si="0"/>
        <v>0.10516151878172592</v>
      </c>
      <c r="H53" s="17"/>
      <c r="I53" s="17"/>
      <c r="J53" s="17"/>
    </row>
    <row r="54" spans="1:10" s="10" customFormat="1" ht="25.5">
      <c r="A54" s="838"/>
      <c r="B54" s="8" t="s">
        <v>186</v>
      </c>
      <c r="C54" s="8" t="s">
        <v>363</v>
      </c>
      <c r="D54" s="8" t="s">
        <v>366</v>
      </c>
      <c r="E54" s="8">
        <v>1</v>
      </c>
      <c r="F54" s="8">
        <f>Цены!C42</f>
        <v>142.13999999999999</v>
      </c>
      <c r="G54" s="528">
        <f t="shared" si="0"/>
        <v>0.96002943350253822</v>
      </c>
      <c r="H54" s="17"/>
      <c r="I54" s="17"/>
      <c r="J54" s="17"/>
    </row>
    <row r="55" spans="1:10" s="10" customFormat="1" ht="25.5">
      <c r="A55" s="838"/>
      <c r="B55" s="8" t="s">
        <v>187</v>
      </c>
      <c r="C55" s="8" t="s">
        <v>363</v>
      </c>
      <c r="D55" s="8" t="s">
        <v>366</v>
      </c>
      <c r="E55" s="8">
        <v>1</v>
      </c>
      <c r="F55" s="8">
        <f>Цены!C43</f>
        <v>521.17999999999995</v>
      </c>
      <c r="G55" s="528">
        <f t="shared" si="0"/>
        <v>3.52010792284264</v>
      </c>
      <c r="H55" s="17"/>
      <c r="I55" s="17"/>
      <c r="J55" s="17"/>
    </row>
    <row r="56" spans="1:10" s="10" customFormat="1" ht="38.25">
      <c r="A56" s="838"/>
      <c r="B56" s="8" t="s">
        <v>183</v>
      </c>
      <c r="C56" s="8" t="s">
        <v>60</v>
      </c>
      <c r="D56" s="8">
        <v>30</v>
      </c>
      <c r="E56" s="8">
        <f>12/D56</f>
        <v>0.4</v>
      </c>
      <c r="F56" s="8">
        <f>Цены!C39</f>
        <v>1366</v>
      </c>
      <c r="G56" s="528">
        <f t="shared" si="0"/>
        <v>9.2261165482233523</v>
      </c>
      <c r="H56" s="17"/>
      <c r="I56" s="17"/>
      <c r="J56" s="17"/>
    </row>
    <row r="57" spans="1:10" ht="12.75" customHeight="1">
      <c r="A57" s="838" t="s">
        <v>139</v>
      </c>
      <c r="B57" s="8" t="s">
        <v>175</v>
      </c>
      <c r="C57" s="8" t="s">
        <v>60</v>
      </c>
      <c r="D57" s="1">
        <v>12</v>
      </c>
      <c r="E57" s="1">
        <f>12/D57</f>
        <v>1</v>
      </c>
      <c r="F57" s="8">
        <f>Цены!C31</f>
        <v>721</v>
      </c>
      <c r="G57" s="544">
        <f t="shared" ref="G57:G62" si="1">F57*$D$39</f>
        <v>6.1437105380710664</v>
      </c>
    </row>
    <row r="58" spans="1:10">
      <c r="A58" s="838"/>
      <c r="B58" s="8" t="s">
        <v>224</v>
      </c>
      <c r="C58" s="8" t="s">
        <v>363</v>
      </c>
      <c r="D58" s="1">
        <v>12</v>
      </c>
      <c r="E58" s="1">
        <v>0</v>
      </c>
      <c r="F58" s="8">
        <f>Цены!C33</f>
        <v>1039.8900000000001</v>
      </c>
      <c r="G58" s="544">
        <f t="shared" si="1"/>
        <v>8.8610029839593931</v>
      </c>
    </row>
    <row r="59" spans="1:10">
      <c r="A59" s="838"/>
      <c r="B59" s="8" t="s">
        <v>178</v>
      </c>
      <c r="C59" s="8" t="s">
        <v>363</v>
      </c>
      <c r="D59" s="1">
        <v>12</v>
      </c>
      <c r="E59" s="1">
        <f>12/D59</f>
        <v>1</v>
      </c>
      <c r="F59" s="8">
        <f>Цены!C34</f>
        <v>280</v>
      </c>
      <c r="G59" s="544">
        <f t="shared" si="1"/>
        <v>2.3859070050761426</v>
      </c>
    </row>
    <row r="60" spans="1:10" ht="25.5">
      <c r="A60" s="838"/>
      <c r="B60" s="8" t="s">
        <v>179</v>
      </c>
      <c r="C60" s="8" t="s">
        <v>363</v>
      </c>
      <c r="D60" s="1">
        <v>2</v>
      </c>
      <c r="E60" s="1">
        <f>12/D60</f>
        <v>6</v>
      </c>
      <c r="F60" s="8">
        <f>Цены!C35</f>
        <v>15.57</v>
      </c>
      <c r="G60" s="544">
        <f t="shared" si="1"/>
        <v>0.13267347167512691</v>
      </c>
    </row>
    <row r="61" spans="1:10">
      <c r="A61" s="838"/>
      <c r="B61" s="8" t="s">
        <v>181</v>
      </c>
      <c r="C61" s="8" t="s">
        <v>363</v>
      </c>
      <c r="D61" s="1">
        <v>3</v>
      </c>
      <c r="E61" s="1">
        <f>12/D61</f>
        <v>4</v>
      </c>
      <c r="F61" s="8">
        <f>Цены!C37</f>
        <v>280</v>
      </c>
      <c r="G61" s="544">
        <f t="shared" si="1"/>
        <v>2.3859070050761426</v>
      </c>
    </row>
    <row r="62" spans="1:10" ht="38.25">
      <c r="A62" s="838"/>
      <c r="B62" s="8" t="s">
        <v>201</v>
      </c>
      <c r="C62" s="8" t="s">
        <v>60</v>
      </c>
      <c r="D62" s="1">
        <v>30</v>
      </c>
      <c r="E62" s="1">
        <f>12/D62</f>
        <v>0.4</v>
      </c>
      <c r="F62" s="8">
        <f>Цены!C39</f>
        <v>1366</v>
      </c>
      <c r="G62" s="544">
        <f t="shared" si="1"/>
        <v>11.639817746192895</v>
      </c>
    </row>
    <row r="63" spans="1:10" ht="18">
      <c r="A63" s="552" t="s">
        <v>371</v>
      </c>
      <c r="B63" s="553"/>
      <c r="C63" s="553"/>
      <c r="D63" s="553"/>
      <c r="E63" s="553"/>
      <c r="F63" s="553"/>
      <c r="G63" s="554">
        <f>SUM(G45:G62)</f>
        <v>81.496952410964496</v>
      </c>
    </row>
  </sheetData>
  <sheetProtection selectLockedCells="1" selectUnlockedCells="1"/>
  <mergeCells count="10">
    <mergeCell ref="A43:G43"/>
    <mergeCell ref="A45:A49"/>
    <mergeCell ref="A50:A56"/>
    <mergeCell ref="A57:A62"/>
    <mergeCell ref="A2:I2"/>
    <mergeCell ref="A9:I9"/>
    <mergeCell ref="A17:I17"/>
    <mergeCell ref="G29:G30"/>
    <mergeCell ref="A33:I33"/>
    <mergeCell ref="A37:I37"/>
  </mergeCells>
  <pageMargins left="0.75" right="0.75" top="1" bottom="1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Исх. дан.</vt:lpstr>
      <vt:lpstr>Норм. по сан. сод.</vt:lpstr>
      <vt:lpstr>Постоянные конст</vt:lpstr>
      <vt:lpstr>ЗП персонала</vt:lpstr>
      <vt:lpstr>Цены</vt:lpstr>
      <vt:lpstr>спец инв</vt:lpstr>
      <vt:lpstr>материал</vt:lpstr>
      <vt:lpstr>Конструктивные элементы</vt:lpstr>
      <vt:lpstr>СВИО и КЭ</vt:lpstr>
      <vt:lpstr>Транс. расх.</vt:lpstr>
      <vt:lpstr>ВСЕ раб</vt:lpstr>
      <vt:lpstr>Перечень</vt:lpstr>
      <vt:lpstr>материал!_xlnm.Print_Area</vt:lpstr>
      <vt:lpstr>'ВСЕ раб'!_xlnm.Print_Titles</vt:lpstr>
      <vt:lpstr>материал!_xlnm.Print_Titles</vt:lpstr>
      <vt:lpstr>'спец инв'!_xlnm.Print_Titles</vt:lpstr>
      <vt:lpstr>'ВСЕ раб'!Заголовки_для_печати</vt:lpstr>
      <vt:lpstr>материал!Заголовки_для_печати</vt:lpstr>
      <vt:lpstr>'спец инв'!Заголовки_для_печати</vt:lpstr>
      <vt:lpstr>материал!Область_печати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BelUser31</cp:lastModifiedBy>
  <cp:revision>0</cp:revision>
  <cp:lastPrinted>2021-11-18T08:28:16Z</cp:lastPrinted>
  <dcterms:created xsi:type="dcterms:W3CDTF">2011-09-20T04:13:12Z</dcterms:created>
  <dcterms:modified xsi:type="dcterms:W3CDTF">2022-08-15T12:53:12Z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